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Velocity Calculation" sheetId="1" state="visible" r:id="rId1"/>
    <sheet name="Chopper Parameters" sheetId="2" state="visible" r:id="rId2"/>
    <sheet name="Power Dissipation" sheetId="3" state="visible" r:id="rId3"/>
    <sheet name="Rsense" sheetId="4" state="visible" r:id="rId4"/>
    <sheet name="RDSonSense" sheetId="5" state="visible" r:id="rId5"/>
    <sheet name="Datagram CRC calculation" sheetId="6" state="visible" r:id="rId6"/>
    <sheet name="Revision History" sheetId="7" state="visible" r:id="rId7"/>
  </sheets>
  <calcPr/>
</workbook>
</file>

<file path=xl/sharedStrings.xml><?xml version="1.0" encoding="utf-8"?>
<sst xmlns="http://schemas.openxmlformats.org/spreadsheetml/2006/main" count="253" uniqueCount="253">
  <si>
    <t xml:space="preserve">This spreadsheet allows the calculation of target velocity and TSTEP time for the internal pulse generator of the TMC220x/TMC222x</t>
  </si>
  <si>
    <t>Usage:</t>
  </si>
  <si>
    <t xml:space="preserve">1. First enter the highlighted values in Parameters and settings</t>
  </si>
  <si>
    <t xml:space="preserve">2. Now you can use one of the calculations (1. - 4.) by entering the known parameters (green)</t>
  </si>
  <si>
    <t xml:space="preserve">Parameters and settings</t>
  </si>
  <si>
    <t>RPM</t>
  </si>
  <si>
    <t xml:space="preserve">Desired Velocity</t>
  </si>
  <si>
    <t>t</t>
  </si>
  <si>
    <t>=</t>
  </si>
  <si>
    <t xml:space="preserve"> 2^24/fCLK</t>
  </si>
  <si>
    <t>[sec]</t>
  </si>
  <si>
    <t>µS/FS</t>
  </si>
  <si>
    <t xml:space="preserve">µStepresolution (256)</t>
  </si>
  <si>
    <t>VMAX</t>
  </si>
  <si>
    <t xml:space="preserve">0 … 2^23-512</t>
  </si>
  <si>
    <t>[µS/t]</t>
  </si>
  <si>
    <t>°</t>
  </si>
  <si>
    <t xml:space="preserve">Fullstep angel</t>
  </si>
  <si>
    <t>fCLK</t>
  </si>
  <si>
    <t>Hz</t>
  </si>
  <si>
    <t>FS/360°</t>
  </si>
  <si>
    <t xml:space="preserve">Fullsteps per revolution</t>
  </si>
  <si>
    <t>µS/360°</t>
  </si>
  <si>
    <t xml:space="preserve">µSteps per revolution</t>
  </si>
  <si>
    <t>:1</t>
  </si>
  <si>
    <t xml:space="preserve">gear ratio</t>
  </si>
  <si>
    <t xml:space="preserve">1. VMAX to real world units</t>
  </si>
  <si>
    <t xml:space="preserve">&lt;--Entry desired VMAX setting here!</t>
  </si>
  <si>
    <t>RPS</t>
  </si>
  <si>
    <t xml:space="preserve">motor shaft</t>
  </si>
  <si>
    <t>deg/sec</t>
  </si>
  <si>
    <t xml:space="preserve">gear box out</t>
  </si>
  <si>
    <t>[µSteps/s]</t>
  </si>
  <si>
    <t xml:space="preserve">2. real world units to VMAX</t>
  </si>
  <si>
    <t xml:space="preserve">&lt;--Entry desired rotations per second here!</t>
  </si>
  <si>
    <t xml:space="preserve">3. real world units (gearbox) to VMAX</t>
  </si>
  <si>
    <t xml:space="preserve">4. VMAX to TSTEP</t>
  </si>
  <si>
    <t>TSTEP</t>
  </si>
  <si>
    <t xml:space="preserve">TSTEP compare value for TPWMTHRS, TCOOLTHRS or THIGH</t>
  </si>
  <si>
    <t xml:space="preserve">Выбор шагового двигателя</t>
  </si>
  <si>
    <t xml:space="preserve">Чем ниже индуктивноть и сопротивление - тем выше мощьность и ниже нагрев, так как короче шаг подачи напряжения</t>
  </si>
  <si>
    <t xml:space="preserve">This spreadsheet allows the calculation of spreadCycle chopper parameter settings and sense resistor values (Эта электронная таблица позволяет рассчитать настройки параметров прерывателя spreadCycle и значения резисторов считывания)</t>
  </si>
  <si>
    <t xml:space="preserve">1. Enter the highlighted system parameters and settings like clock frequency and supply voltage as well as motor parameters.</t>
  </si>
  <si>
    <t xml:space="preserve">2. Check the resulting sense resistor value (C46 or C47) and modify the current scale setting (CS in C26) if you want to use a different sense resistor value</t>
  </si>
  <si>
    <t xml:space="preserve">3. Check that all hints fileds show OK and modify toff setting (C20) if desired.</t>
  </si>
  <si>
    <t xml:space="preserve">4. Use the resulting hysteresis values (F32, F33) as a start value for parameter optimization</t>
  </si>
  <si>
    <t xml:space="preserve">fCLK[MHz] :=</t>
  </si>
  <si>
    <t xml:space="preserve">System clock frequency</t>
  </si>
  <si>
    <t xml:space="preserve">НЕ ТРОГАТЬ</t>
  </si>
  <si>
    <t xml:space="preserve">TBL blank time select</t>
  </si>
  <si>
    <t xml:space="preserve">tCLK[s] =</t>
  </si>
  <si>
    <t>clocks</t>
  </si>
  <si>
    <t xml:space="preserve">VM[V] :=</t>
  </si>
  <si>
    <t xml:space="preserve">Driver power supply voltage</t>
  </si>
  <si>
    <t xml:space="preserve">БП 24В</t>
  </si>
  <si>
    <t xml:space="preserve">TBL :=</t>
  </si>
  <si>
    <t xml:space="preserve">Blank time setting (0-3; default: 2)</t>
  </si>
  <si>
    <t xml:space="preserve">задержка между выдачей импульсов</t>
  </si>
  <si>
    <t>x00</t>
  </si>
  <si>
    <t>x01</t>
  </si>
  <si>
    <t>x10</t>
  </si>
  <si>
    <t>x11</t>
  </si>
  <si>
    <t xml:space="preserve">tBLANK[s] =</t>
  </si>
  <si>
    <t xml:space="preserve">duration of blank time as set by TBL (=0, 1, 2, 3) &lt;=&gt; 16, 24, 32, 40 tCLK</t>
  </si>
  <si>
    <t>рекомендовано</t>
  </si>
  <si>
    <t xml:space="preserve">Motor parameters</t>
  </si>
  <si>
    <t xml:space="preserve">L[H] :=</t>
  </si>
  <si>
    <t xml:space="preserve">Motor coil inductivity (1mH = 0.001H)</t>
  </si>
  <si>
    <t xml:space="preserve">индуктивность 3.2mH</t>
  </si>
  <si>
    <t xml:space="preserve">Rcoil[Ohm] :=</t>
  </si>
  <si>
    <t xml:space="preserve">сопротивление ШД 4 Ома на фазу</t>
  </si>
  <si>
    <t xml:space="preserve">Icoil (peak)[A] :=</t>
  </si>
  <si>
    <t xml:space="preserve">determined by Rsense, CurrentScale (CS), Vsense</t>
  </si>
  <si>
    <t xml:space="preserve">Максимальный ток пиковый</t>
  </si>
  <si>
    <t xml:space="preserve">Icoil (RMS)[A] =</t>
  </si>
  <si>
    <t xml:space="preserve">заданный из конфига</t>
  </si>
  <si>
    <t xml:space="preserve">Additional settings</t>
  </si>
  <si>
    <t xml:space="preserve">toff setting :=</t>
  </si>
  <si>
    <t xml:space="preserve">Typical values are in the range 3 to 8</t>
  </si>
  <si>
    <t xml:space="preserve">tSD[s] =</t>
  </si>
  <si>
    <t xml:space="preserve">Duration of slow decay phase (twice per chopper cycle)</t>
  </si>
  <si>
    <t xml:space="preserve">dIcoilBBM[A] =</t>
  </si>
  <si>
    <t xml:space="preserve">Coil current drop during power stage BBM time (appr. 200ns)</t>
  </si>
  <si>
    <t xml:space="preserve">dIcoilblank[A] =</t>
  </si>
  <si>
    <t xml:space="preserve">Coil current drop during blank time</t>
  </si>
  <si>
    <t xml:space="preserve">dIcoilsd[A] =</t>
  </si>
  <si>
    <t xml:space="preserve">Coil current drop during slow decay time</t>
  </si>
  <si>
    <t xml:space="preserve">CS :=</t>
  </si>
  <si>
    <t xml:space="preserve">Current Scale Setting (0 to 31)</t>
  </si>
  <si>
    <t xml:space="preserve">Hint: </t>
  </si>
  <si>
    <t>Results</t>
  </si>
  <si>
    <t xml:space="preserve">HystStart_MIN =</t>
  </si>
  <si>
    <t xml:space="preserve">0 ... 5 fits for most stepper motor types as initial value</t>
  </si>
  <si>
    <t xml:space="preserve">((HSTR + HEND) &gt; HystStart_MIN)</t>
  </si>
  <si>
    <t xml:space="preserve">HEND = 0 or larger, if HystStart_MIN  &gt; 7</t>
  </si>
  <si>
    <t xml:space="preserve">Settings for HSTART and HEND</t>
  </si>
  <si>
    <t xml:space="preserve">Desired Value</t>
  </si>
  <si>
    <t xml:space="preserve">Register value for CHOPCONF register bits</t>
  </si>
  <si>
    <t xml:space="preserve">Sample values HSTRT</t>
  </si>
  <si>
    <t>(1...8)</t>
  </si>
  <si>
    <t xml:space="preserve">HSTRT setting</t>
  </si>
  <si>
    <t xml:space="preserve">&lt;-- This is the minimum value which should be considered for HSTRT, larger values can be used to yield lower chopper frequency</t>
  </si>
  <si>
    <t xml:space="preserve">Sample values HEND</t>
  </si>
  <si>
    <t>(-3...12)</t>
  </si>
  <si>
    <t xml:space="preserve">HEND setting</t>
  </si>
  <si>
    <t xml:space="preserve">&lt;-- This is the minimum value which should be considered for HEND, larger values can be used to yield lower chopper frequency</t>
  </si>
  <si>
    <t xml:space="preserve">0 это четыре!</t>
  </si>
  <si>
    <t xml:space="preserve">Смотреть по таблице</t>
  </si>
  <si>
    <t xml:space="preserve">chopper frequency limit [kHz]</t>
  </si>
  <si>
    <t xml:space="preserve">Theoretical maximum value - the actual chopper frequency will be 90% to 50% of this value depending on operation conditions or when higher hysteresis values are used</t>
  </si>
  <si>
    <t xml:space="preserve">Umotnom[V] =</t>
  </si>
  <si>
    <t xml:space="preserve">Nominal motor voltage </t>
  </si>
  <si>
    <t xml:space="preserve">Derived motor specific limits for the supply voltage</t>
  </si>
  <si>
    <t xml:space="preserve">VM_upper_limit[V] =</t>
  </si>
  <si>
    <t xml:space="preserve">Maximum supply voltage for motor driver (in order to avoid excess heating of the motor by chopping)</t>
  </si>
  <si>
    <t xml:space="preserve">VM_lower_limit[V] =</t>
  </si>
  <si>
    <t xml:space="preserve">Minimum supply voltage for motor driver (in order to allow full motor current with microstepping)</t>
  </si>
  <si>
    <t xml:space="preserve">Automatic calculation of sense resistor values (based on CS and Icoil Peak)</t>
  </si>
  <si>
    <r>
      <rPr>
        <b/>
        <sz val="11"/>
        <color rgb="FF0070C0"/>
        <rFont val="Calibri"/>
      </rPr>
      <t>Rsense</t>
    </r>
    <r>
      <rPr>
        <sz val="11"/>
        <color rgb="FF0070C0"/>
        <rFont val="Calibri"/>
        <scheme val="minor"/>
      </rPr>
      <t xml:space="preserve"> using VSENSE=0</t>
    </r>
  </si>
  <si>
    <t>Ohm</t>
  </si>
  <si>
    <t xml:space="preserve">Modify the current scale setting if a value near to this result (e.g. within a +/-3% range) is not available</t>
  </si>
  <si>
    <r>
      <rPr>
        <b/>
        <sz val="11"/>
        <color rgb="FF0070C0"/>
        <rFont val="Calibri"/>
      </rPr>
      <t>Rsense</t>
    </r>
    <r>
      <rPr>
        <sz val="11"/>
        <color rgb="FF0070C0"/>
        <rFont val="Calibri"/>
        <scheme val="minor"/>
      </rPr>
      <t xml:space="preserve"> using VSENSE=1</t>
    </r>
  </si>
  <si>
    <t xml:space="preserve">как пересчитывается сопротивление резистора в ток</t>
  </si>
  <si>
    <t xml:space="preserve">This spreadsheet allows the calculation of the power dissipation of the driver IC and sense resistors</t>
  </si>
  <si>
    <t xml:space="preserve">The calculation sheet assumes operation with spread cycle chopper at medium motor velocity, which is a typical worst case scenario.</t>
  </si>
  <si>
    <t xml:space="preserve">1. Enter the system values like clock frequency and supply voltage as well as motor parameters into the fields highlighted yellow.</t>
  </si>
  <si>
    <t xml:space="preserve">2. Now you can read out the power dissipation for the IC and for the sense resistors</t>
  </si>
  <si>
    <t xml:space="preserve">Please enter Values higlighted according to your settings</t>
  </si>
  <si>
    <t xml:space="preserve">частота работы драпйвера не трогать</t>
  </si>
  <si>
    <t xml:space="preserve">Driver supply voltage</t>
  </si>
  <si>
    <t xml:space="preserve">Motor data</t>
  </si>
  <si>
    <t xml:space="preserve">Motor current</t>
  </si>
  <si>
    <t xml:space="preserve">determined by Rsense, CurrentScale (CS), Vsense, this is typically the RMS motor coil current  *1.41</t>
  </si>
  <si>
    <t xml:space="preserve">Icoil (RMS)[A] :=</t>
  </si>
  <si>
    <t xml:space="preserve">RMS current required by motor</t>
  </si>
  <si>
    <t xml:space="preserve">Motor coil resistance</t>
  </si>
  <si>
    <t xml:space="preserve">Rcoil[Ohms] :=</t>
  </si>
  <si>
    <t xml:space="preserve">DC coil resistance</t>
  </si>
  <si>
    <t xml:space="preserve">сопротивление шагового двигателя из дата шита</t>
  </si>
  <si>
    <t xml:space="preserve">Chopper parameters</t>
  </si>
  <si>
    <t xml:space="preserve">Slow decay time</t>
  </si>
  <si>
    <r>
      <t xml:space="preserve">Chopper frequency calculated for lowest good hysteresis setting using </t>
    </r>
    <r>
      <rPr>
        <i/>
        <sz val="11"/>
        <color theme="1"/>
        <rFont val="Calibri"/>
        <scheme val="minor"/>
      </rPr>
      <t>spreadCycle</t>
    </r>
  </si>
  <si>
    <t>fCHOP[kHz]=</t>
  </si>
  <si>
    <t xml:space="preserve">The chopper frequency depends on the toff setting and on the duty cycle, which is determined by many factors</t>
  </si>
  <si>
    <t xml:space="preserve">Duty cycle assumed for typical operating condition using spreadCycle</t>
  </si>
  <si>
    <t xml:space="preserve">Dutycycle Highside=</t>
  </si>
  <si>
    <t xml:space="preserve">The duty cycle describes the time of a chopper period, where a high side MOSFET is on: 0.3=30% of the time, 70% slow decay portion)</t>
  </si>
  <si>
    <t xml:space="preserve">Driver IC</t>
  </si>
  <si>
    <t xml:space="preserve">Calculationof power dissipation</t>
  </si>
  <si>
    <t xml:space="preserve">MOSFET data for 25°C</t>
  </si>
  <si>
    <t>RON_highside[Ohm]:=</t>
  </si>
  <si>
    <t xml:space="preserve">you may want to use worst case values</t>
  </si>
  <si>
    <t>RON_lowside[Ohm]:=</t>
  </si>
  <si>
    <t xml:space="preserve">Assumed die temperatur under worst case</t>
  </si>
  <si>
    <t xml:space="preserve">Chip Temperature [°C] :=</t>
  </si>
  <si>
    <t xml:space="preserve">Assume maximum die temperature in your application within the device limits</t>
  </si>
  <si>
    <t>RON_highside_th[Ohm]=</t>
  </si>
  <si>
    <t>RON_lowside_th[Ohm]=</t>
  </si>
  <si>
    <t xml:space="preserve">Reverse recovery time tRR of body diode</t>
  </si>
  <si>
    <t xml:space="preserve">tRR_highside [ns]:=</t>
  </si>
  <si>
    <t xml:space="preserve">The reverse recovery time adds power dissipation to the complementary MOSFET, however, the impact is low</t>
  </si>
  <si>
    <t xml:space="preserve">tRR_lowside [ns]:=</t>
  </si>
  <si>
    <t xml:space="preserve">Slope time rise [ns]=</t>
  </si>
  <si>
    <t xml:space="preserve">Slope time fall [ns]=</t>
  </si>
  <si>
    <t xml:space="preserve">Resulting MOSFET Power Dissipation</t>
  </si>
  <si>
    <t>P_highside(static)[W]=</t>
  </si>
  <si>
    <t xml:space="preserve">per MOSFET (using RMS current)</t>
  </si>
  <si>
    <t>P_highside(dynamic)[W]=</t>
  </si>
  <si>
    <t xml:space="preserve">Maximum dissipation per MOSFET</t>
  </si>
  <si>
    <t>P_highside(sum)[W]=</t>
  </si>
  <si>
    <t>P_lowside(static)[W]=</t>
  </si>
  <si>
    <t>P_lowside(dynamic)[W]=</t>
  </si>
  <si>
    <t>P_lowside(sum)[W]=</t>
  </si>
  <si>
    <t xml:space="preserve">for one fullbridge</t>
  </si>
  <si>
    <t>Pfullbrige[W]=</t>
  </si>
  <si>
    <t xml:space="preserve">for complete two fullbridges (per motor)</t>
  </si>
  <si>
    <t>PMOSFETs[W]=</t>
  </si>
  <si>
    <t xml:space="preserve">Power consumption from VSA at VS voltage</t>
  </si>
  <si>
    <t>P_LinRegulator[W]=</t>
  </si>
  <si>
    <t xml:space="preserve">Power dissipation for complete Chip</t>
  </si>
  <si>
    <t xml:space="preserve">P for this chip [W]</t>
  </si>
  <si>
    <t xml:space="preserve">Power dissipation for each sense resistor</t>
  </si>
  <si>
    <t xml:space="preserve">Sense resistor [Ohm]:=</t>
  </si>
  <si>
    <t xml:space="preserve">Use the sense resistor value selected or use Chopper Parameter Tab for calculation</t>
  </si>
  <si>
    <t xml:space="preserve">Typical Rsense power dissipation[W]=</t>
  </si>
  <si>
    <t xml:space="preserve">&lt;-- The power dissipation is during motion at RMS current. It might vary up to +100% depending on chopper settings especially at high motor velocity</t>
  </si>
  <si>
    <t xml:space="preserve">Maximum Rsense power dissipation[W]=</t>
  </si>
  <si>
    <t xml:space="preserve">&lt;-- Assumed worst case power dissipation for seletion of resistor type</t>
  </si>
  <si>
    <t>VSRTL</t>
  </si>
  <si>
    <t>mV</t>
  </si>
  <si>
    <t>VSRTH</t>
  </si>
  <si>
    <t xml:space="preserve">Low sensitivity (standard setting, VSENSE=0)</t>
  </si>
  <si>
    <r>
      <t xml:space="preserve">Sense Resistor value [</t>
    </r>
    <r>
      <rPr>
        <b/>
        <sz val="11"/>
        <color theme="1"/>
        <rFont val="Calibri"/>
      </rPr>
      <t>Ω]</t>
    </r>
  </si>
  <si>
    <t xml:space="preserve">Peak current [A]</t>
  </si>
  <si>
    <t xml:space="preserve">RMS current [A]</t>
  </si>
  <si>
    <t xml:space="preserve">Max. RMS sense resistor power dissipation [W]</t>
  </si>
  <si>
    <t xml:space="preserve">(CS=31, i.e. max. current setting)</t>
  </si>
  <si>
    <t xml:space="preserve">&lt;0,1W: 0603 resistor is OK</t>
  </si>
  <si>
    <t xml:space="preserve">&lt;0,25W: 0805 resistor is OK</t>
  </si>
  <si>
    <t xml:space="preserve">&lt;0,5W: 1206 resistor is OK</t>
  </si>
  <si>
    <t xml:space="preserve">High sensitivity (standard setting, VSENSE=1)</t>
  </si>
  <si>
    <t xml:space="preserve">This spreadsheet allows looking up the fitting Reference Resistor for a given maximum motor peak current</t>
  </si>
  <si>
    <t xml:space="preserve">RREF [kOhm]</t>
  </si>
  <si>
    <t xml:space="preserve">IREF [A]</t>
  </si>
  <si>
    <t xml:space="preserve">IPEAK [A] (VSENSE=0)</t>
  </si>
  <si>
    <t xml:space="preserve">IRMS [A] (VSENSE=0)</t>
  </si>
  <si>
    <t xml:space="preserve">IPEAK [A] (VSENSE=1)</t>
  </si>
  <si>
    <t xml:space="preserve">IRMS [A] (VSENSE=1)</t>
  </si>
  <si>
    <t xml:space="preserve">Calculation of the CRC Byte</t>
  </si>
  <si>
    <t xml:space="preserve">Write Access</t>
  </si>
  <si>
    <t xml:space="preserve">Sync byte (fix)</t>
  </si>
  <si>
    <t xml:space="preserve">Address (0)</t>
  </si>
  <si>
    <t xml:space="preserve">Register for Write</t>
  </si>
  <si>
    <t xml:space="preserve">data 3</t>
  </si>
  <si>
    <t xml:space="preserve">data 2</t>
  </si>
  <si>
    <t xml:space="preserve">data 1</t>
  </si>
  <si>
    <t xml:space="preserve">data 0</t>
  </si>
  <si>
    <t>CRC</t>
  </si>
  <si>
    <t xml:space="preserve">Write Datagram Hex with CRC: </t>
  </si>
  <si>
    <t>00</t>
  </si>
  <si>
    <t>01</t>
  </si>
  <si>
    <t>14</t>
  </si>
  <si>
    <t>05</t>
  </si>
  <si>
    <t xml:space="preserve">Write Datagram Dec:</t>
  </si>
  <si>
    <t>Input</t>
  </si>
  <si>
    <t xml:space="preserve">Acc. CRC</t>
  </si>
  <si>
    <t xml:space="preserve">CRC Byte Bit 0</t>
  </si>
  <si>
    <t xml:space="preserve">Bit 1</t>
  </si>
  <si>
    <t xml:space="preserve">Bit 2</t>
  </si>
  <si>
    <t xml:space="preserve">Bit 3</t>
  </si>
  <si>
    <t xml:space="preserve">Bit 4</t>
  </si>
  <si>
    <t xml:space="preserve">Bit 5</t>
  </si>
  <si>
    <t xml:space="preserve">Bit 6</t>
  </si>
  <si>
    <t xml:space="preserve">Bit 7</t>
  </si>
  <si>
    <t xml:space="preserve">Read Access</t>
  </si>
  <si>
    <t xml:space="preserve">Register for Read</t>
  </si>
  <si>
    <t xml:space="preserve">Read Datagram Hex with CRC: </t>
  </si>
  <si>
    <t>0</t>
  </si>
  <si>
    <t>6</t>
  </si>
  <si>
    <t xml:space="preserve">Read Datagram Dec:</t>
  </si>
  <si>
    <t xml:space="preserve">File :</t>
  </si>
  <si>
    <t>TMC220x_TMC222x_Calculations.xlsx</t>
  </si>
  <si>
    <t xml:space="preserve">THIS CODE AND INFORMATION IS PROVIDED "AS IS" WITHOUT WARRANTY OF ANY  KIND, EITHER EXPRESSED OR IMPLIED.</t>
  </si>
  <si>
    <t>Date</t>
  </si>
  <si>
    <t>Author</t>
  </si>
  <si>
    <t>Comment</t>
  </si>
  <si>
    <t>2016-SEP-30</t>
  </si>
  <si>
    <t>BD</t>
  </si>
  <si>
    <t xml:space="preserve">Initial version based on TMC5130_2130_2100_Calculations.xls, Adapted</t>
  </si>
  <si>
    <t>2019-FEB-05</t>
  </si>
  <si>
    <t xml:space="preserve">Corrected calculation of sense resistor with 30mOhm internal resistance rather than 20mOhm</t>
  </si>
  <si>
    <t>2019-SEP-23</t>
  </si>
  <si>
    <t xml:space="preserve">Added CRC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</si>
</sst>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0.000000"/>
    <numFmt numFmtId="161" formatCode="0.0000"/>
    <numFmt numFmtId="162" formatCode="0.000"/>
    <numFmt numFmtId="163" formatCode="0.0"/>
  </numFmts>
  <fonts count="17">
    <font>
      <name val="Calibri"/>
      <color theme="1"/>
      <sz val="11.000000"/>
      <scheme val="minor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theme="1"/>
      <sz val="12.000000"/>
      <scheme val="minor"/>
    </font>
    <font>
      <name val="Calibri"/>
      <color theme="1"/>
      <sz val="12.000000"/>
      <scheme val="minor"/>
    </font>
    <font>
      <name val="Calibri"/>
      <b/>
      <color theme="1"/>
      <sz val="11.000000"/>
      <scheme val="minor"/>
    </font>
    <font>
      <name val="Calibri"/>
      <sz val="11.000000"/>
      <scheme val="minor"/>
    </font>
    <font>
      <name val="Calibri"/>
      <b/>
      <color indexed="2"/>
      <sz val="11.000000"/>
      <scheme val="minor"/>
    </font>
    <font>
      <name val="Calibri"/>
      <b/>
      <sz val="11.000000"/>
      <scheme val="minor"/>
    </font>
    <font>
      <name val="Calibri"/>
      <i/>
      <color theme="1"/>
      <sz val="11.000000"/>
      <scheme val="minor"/>
    </font>
    <font>
      <name val="Calibri"/>
      <b/>
      <i/>
      <color rgb="FF0070C0"/>
      <sz val="11.000000"/>
      <scheme val="minor"/>
    </font>
    <font>
      <name val="Calibri"/>
      <b/>
      <color rgb="FF0070C0"/>
      <sz val="11.000000"/>
      <scheme val="minor"/>
    </font>
    <font>
      <name val="Calibri"/>
      <color rgb="FF0070C0"/>
      <sz val="11.000000"/>
      <scheme val="minor"/>
    </font>
    <font>
      <name val="Calibri"/>
      <color indexed="2"/>
      <sz val="11.000000"/>
      <scheme val="minor"/>
    </font>
    <font>
      <name val="Arial"/>
      <b/>
      <sz val="10.000000"/>
    </font>
    <font>
      <name val="Calibri"/>
      <color theme="1"/>
      <sz val="16.000000"/>
      <scheme val="minor"/>
    </font>
    <font>
      <name val="Arial"/>
      <b/>
      <i/>
      <color indexed="2"/>
      <sz val="10.000000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"/>
        <bgColor theme="6" tint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C000"/>
        <bgColor rgb="FFFFC00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049989318521683403"/>
        <bgColor theme="0" tint="-0.049989318521683403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106"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/>
    <xf fontId="4" fillId="2" borderId="0" numFmtId="0" xfId="0" applyFont="1" applyFill="1"/>
    <xf fontId="2" fillId="2" borderId="0" numFmtId="0" xfId="0" applyFont="1" applyFill="1"/>
    <xf fontId="0" fillId="2" borderId="0" numFmtId="0" xfId="0" applyFill="1"/>
    <xf fontId="4" fillId="3" borderId="0" numFmtId="0" xfId="0" applyFont="1" applyFill="1"/>
    <xf fontId="2" fillId="3" borderId="0" numFmtId="0" xfId="0" applyFont="1" applyFill="1"/>
    <xf fontId="0" fillId="3" borderId="0" numFmtId="0" xfId="0" applyFill="1"/>
    <xf fontId="5" fillId="0" borderId="0" numFmtId="0" xfId="0" applyFont="1"/>
    <xf fontId="0" fillId="2" borderId="1" numFmtId="0" xfId="0" applyFill="1" applyBorder="1"/>
    <xf fontId="0" fillId="0" borderId="0" numFmtId="0" xfId="0" quotePrefix="1"/>
    <xf fontId="0" fillId="0" borderId="0" numFmtId="160" xfId="0" applyNumberFormat="1"/>
    <xf fontId="6" fillId="0" borderId="0" numFmtId="0" xfId="0" applyFont="1"/>
    <xf fontId="6" fillId="2" borderId="1" numFmtId="0" xfId="0" applyFont="1" applyFill="1" applyBorder="1"/>
    <xf fontId="0" fillId="0" borderId="0" numFmtId="0" xfId="0"/>
    <xf fontId="0" fillId="3" borderId="1" numFmtId="1" xfId="0" applyNumberFormat="1" applyFill="1" applyBorder="1"/>
    <xf fontId="0" fillId="0" borderId="0" numFmtId="2" xfId="0" applyNumberFormat="1"/>
    <xf fontId="5" fillId="0" borderId="0" numFmtId="2" xfId="0" applyNumberFormat="1" applyFont="1"/>
    <xf fontId="0" fillId="3" borderId="1" numFmtId="2" xfId="0" applyNumberFormat="1" applyFill="1" applyBorder="1"/>
    <xf fontId="5" fillId="0" borderId="0" numFmtId="1" xfId="0" applyNumberFormat="1" applyFont="1"/>
    <xf fontId="0" fillId="0" borderId="0" numFmtId="0" xfId="0" applyAlignment="1">
      <alignment horizontal="center"/>
    </xf>
    <xf fontId="0" fillId="0" borderId="0" numFmtId="0" xfId="0" applyAlignment="1">
      <alignment horizontal="right"/>
    </xf>
    <xf fontId="1" fillId="0" borderId="0" numFmtId="0" xfId="0" applyFont="1" applyAlignment="1">
      <alignment horizontal="justify" vertical="center"/>
    </xf>
    <xf fontId="0" fillId="4" borderId="0" numFmtId="0" xfId="0" applyFill="1"/>
    <xf fontId="0" fillId="0" borderId="2" numFmtId="0" xfId="0" applyBorder="1" applyAlignment="1">
      <alignment horizontal="center"/>
    </xf>
    <xf fontId="0" fillId="0" borderId="2" numFmtId="0" xfId="0" applyBorder="1" applyAlignment="1">
      <alignment horizontal="center"/>
    </xf>
    <xf fontId="0" fillId="5" borderId="2" numFmtId="0" xfId="0" applyFill="1" applyBorder="1" applyAlignment="1">
      <alignment horizontal="center"/>
    </xf>
    <xf fontId="0" fillId="2" borderId="3" numFmtId="0" xfId="0" applyFill="1" applyBorder="1"/>
    <xf fontId="0" fillId="0" borderId="2" numFmtId="0" xfId="0" applyBorder="1"/>
    <xf fontId="0" fillId="5" borderId="0" numFmtId="0" xfId="0" applyFill="1" applyAlignment="1">
      <alignment horizontal="right"/>
    </xf>
    <xf fontId="0" fillId="2" borderId="4" numFmtId="0" xfId="0" applyFill="1" applyBorder="1"/>
    <xf fontId="0" fillId="0" borderId="0" numFmtId="48" xfId="0" applyNumberFormat="1"/>
    <xf fontId="0" fillId="5" borderId="2" numFmtId="0" xfId="0" applyFill="1" applyBorder="1" applyAlignment="1">
      <alignment horizontal="center"/>
    </xf>
    <xf fontId="0" fillId="0" borderId="0" numFmtId="11" xfId="0" applyNumberFormat="1"/>
    <xf fontId="0" fillId="2" borderId="3" numFmtId="161" xfId="0" applyNumberFormat="1" applyFill="1" applyBorder="1"/>
    <xf fontId="0" fillId="2" borderId="5" numFmtId="0" xfId="0" applyFill="1" applyBorder="1"/>
    <xf fontId="0" fillId="0" borderId="0" numFmtId="162" xfId="0" applyNumberFormat="1"/>
    <xf fontId="0" fillId="3" borderId="1" numFmtId="0" xfId="0" applyFill="1" applyBorder="1"/>
    <xf fontId="7" fillId="0" borderId="0" numFmtId="0" xfId="0" applyFont="1"/>
    <xf fontId="5" fillId="6" borderId="0" numFmtId="0" xfId="0" applyFont="1" applyFill="1"/>
    <xf fontId="0" fillId="6" borderId="0" numFmtId="0" xfId="0" applyFill="1" applyAlignment="1">
      <alignment horizontal="right"/>
    </xf>
    <xf fontId="7" fillId="6" borderId="0" numFmtId="0" xfId="0" applyFont="1" applyFill="1"/>
    <xf fontId="0" fillId="6" borderId="0" numFmtId="0" xfId="0" applyFill="1"/>
    <xf fontId="5" fillId="0" borderId="0" numFmtId="0" xfId="0" applyFont="1" applyAlignment="1">
      <alignment horizontal="right"/>
    </xf>
    <xf fontId="8" fillId="0" borderId="0" numFmtId="1" xfId="0" applyNumberFormat="1" applyFont="1"/>
    <xf fontId="5" fillId="0" borderId="0" numFmtId="0" xfId="0" applyFont="1" applyAlignment="1">
      <alignment horizontal="left"/>
    </xf>
    <xf fontId="9" fillId="0" borderId="0" numFmtId="0" xfId="0" applyFont="1"/>
    <xf fontId="10" fillId="0" borderId="6" numFmtId="0" xfId="0" applyFont="1" applyBorder="1"/>
    <xf fontId="0" fillId="0" borderId="7" numFmtId="0" xfId="0" applyBorder="1"/>
    <xf fontId="0" fillId="0" borderId="8" numFmtId="0" xfId="0" applyBorder="1"/>
    <xf fontId="6" fillId="0" borderId="0" numFmtId="0" xfId="0" applyFont="1" applyAlignment="1">
      <alignment horizontal="right"/>
    </xf>
    <xf fontId="0" fillId="0" borderId="0" numFmtId="1" xfId="0" applyNumberFormat="1"/>
    <xf fontId="11" fillId="0" borderId="9" numFmtId="1" xfId="0" applyNumberFormat="1" applyFont="1" applyBorder="1"/>
    <xf fontId="12" fillId="0" borderId="0" numFmtId="0" xfId="0" applyFont="1"/>
    <xf fontId="0" fillId="0" borderId="10" numFmtId="0" xfId="0" applyBorder="1"/>
    <xf fontId="11" fillId="0" borderId="11" numFmtId="1" xfId="0" applyNumberFormat="1" applyFont="1" applyBorder="1"/>
    <xf fontId="12" fillId="0" borderId="12" numFmtId="0" xfId="0" applyFont="1" applyBorder="1"/>
    <xf fontId="0" fillId="0" borderId="13" numFmtId="0" xfId="0" applyBorder="1"/>
    <xf fontId="5" fillId="0" borderId="0" numFmtId="163" xfId="0" applyNumberFormat="1" applyFont="1"/>
    <xf fontId="0" fillId="0" borderId="0" numFmtId="0" xfId="0" applyAlignment="1">
      <alignment horizontal="left"/>
    </xf>
    <xf fontId="12" fillId="0" borderId="6" numFmtId="0" xfId="0" applyFont="1" applyBorder="1"/>
    <xf fontId="11" fillId="0" borderId="7" numFmtId="162" xfId="0" applyNumberFormat="1" applyFont="1" applyBorder="1"/>
    <xf fontId="12" fillId="0" borderId="8" numFmtId="0" xfId="0" applyFont="1" applyBorder="1"/>
    <xf fontId="12" fillId="0" borderId="11" numFmtId="0" xfId="0" applyFont="1" applyBorder="1"/>
    <xf fontId="11" fillId="0" borderId="12" numFmtId="162" xfId="0" applyNumberFormat="1" applyFont="1" applyBorder="1"/>
    <xf fontId="12" fillId="0" borderId="13" numFmtId="0" xfId="0" applyFont="1" applyBorder="1"/>
    <xf fontId="9" fillId="2" borderId="0" numFmtId="0" xfId="0" applyFont="1" applyFill="1"/>
    <xf fontId="0" fillId="2" borderId="1" numFmtId="2" xfId="0" applyNumberFormat="1" applyFill="1" applyBorder="1"/>
    <xf fontId="0" fillId="5" borderId="0" numFmtId="2" xfId="0" applyNumberFormat="1" applyFill="1"/>
    <xf fontId="0" fillId="5" borderId="0" numFmtId="0" xfId="0" applyFill="1"/>
    <xf fontId="0" fillId="5" borderId="0" numFmtId="0" xfId="0" applyFill="1" applyAlignment="1">
      <alignment horizontal="center"/>
    </xf>
    <xf fontId="0" fillId="0" borderId="0" numFmtId="49" xfId="0" applyNumberFormat="1" applyAlignment="1">
      <alignment wrapText="1"/>
    </xf>
    <xf fontId="12" fillId="0" borderId="0" numFmtId="0" xfId="0" applyFont="1" applyAlignment="1">
      <alignment horizontal="right"/>
    </xf>
    <xf fontId="12" fillId="0" borderId="0" numFmtId="2" xfId="0" applyNumberFormat="1" applyFont="1"/>
    <xf fontId="6" fillId="0" borderId="0" numFmtId="2" xfId="0" applyNumberFormat="1" applyFont="1"/>
    <xf fontId="5" fillId="7" borderId="0" numFmtId="2" xfId="0" applyNumberFormat="1" applyFont="1" applyFill="1"/>
    <xf fontId="6" fillId="2" borderId="1" numFmtId="1" xfId="0" applyNumberFormat="1" applyFont="1" applyFill="1" applyBorder="1"/>
    <xf fontId="13" fillId="0" borderId="0" numFmtId="0" xfId="0" applyFont="1"/>
    <xf fontId="6" fillId="2" borderId="1" numFmtId="162" xfId="0" applyNumberFormat="1" applyFont="1" applyFill="1" applyBorder="1"/>
    <xf fontId="6" fillId="0" borderId="0" numFmtId="162" xfId="0" applyNumberFormat="1" applyFont="1"/>
    <xf fontId="11" fillId="0" borderId="0" numFmtId="0" xfId="0" applyFont="1" applyAlignment="1">
      <alignment horizontal="right"/>
    </xf>
    <xf fontId="11" fillId="0" borderId="0" numFmtId="2" xfId="0" applyNumberFormat="1" applyFont="1"/>
    <xf fontId="14" fillId="0" borderId="0" numFmtId="0" xfId="0" applyFont="1"/>
    <xf fontId="14" fillId="0" borderId="0" numFmtId="2" xfId="0" applyNumberFormat="1" applyFont="1"/>
    <xf fontId="13" fillId="0" borderId="0" numFmtId="2" xfId="0" applyNumberFormat="1" applyFont="1"/>
    <xf fontId="0" fillId="0" borderId="14" numFmtId="0" xfId="0" applyBorder="1"/>
    <xf fontId="0" fillId="0" borderId="4" numFmtId="0" xfId="0" applyBorder="1"/>
    <xf fontId="0" fillId="0" borderId="15" numFmtId="0" xfId="0" applyBorder="1"/>
    <xf fontId="0" fillId="0" borderId="16" numFmtId="0" xfId="0" applyBorder="1"/>
    <xf fontId="0" fillId="0" borderId="5" numFmtId="160" xfId="0" applyNumberFormat="1" applyBorder="1"/>
    <xf fontId="13" fillId="0" borderId="3" numFmtId="2" xfId="0" applyNumberFormat="1" applyFont="1" applyBorder="1"/>
    <xf fontId="13" fillId="0" borderId="17" numFmtId="2" xfId="0" applyNumberFormat="1" applyFont="1" applyBorder="1"/>
    <xf fontId="0" fillId="0" borderId="17" numFmtId="2" xfId="0" applyNumberFormat="1" applyBorder="1"/>
    <xf fontId="0" fillId="0" borderId="5" numFmtId="2" xfId="0" applyNumberFormat="1" applyBorder="1"/>
    <xf fontId="0" fillId="0" borderId="16" numFmtId="2" xfId="0" applyNumberFormat="1" applyBorder="1"/>
    <xf fontId="15" fillId="0" borderId="0" numFmtId="0" xfId="0" applyFont="1"/>
    <xf fontId="0" fillId="2" borderId="3" numFmtId="49" xfId="0" applyNumberFormat="1" applyFill="1" applyBorder="1"/>
    <xf fontId="0" fillId="2" borderId="18" numFmtId="49" xfId="0" applyNumberFormat="1" applyFill="1" applyBorder="1"/>
    <xf fontId="0" fillId="8" borderId="1" numFmtId="0" xfId="0" applyFill="1" applyBorder="1" applyAlignment="1">
      <alignment horizontal="right"/>
    </xf>
    <xf fontId="0" fillId="0" borderId="1" numFmtId="0" xfId="0" applyBorder="1" applyAlignment="1">
      <alignment horizontal="right"/>
    </xf>
    <xf fontId="0" fillId="9" borderId="0" numFmtId="0" xfId="0" applyFill="1"/>
    <xf fontId="0" fillId="9" borderId="0" numFmtId="1" xfId="0" applyNumberFormat="1" applyFill="1"/>
    <xf fontId="14" fillId="0" borderId="0" numFmtId="0" xfId="0" applyFont="1" applyAlignment="1">
      <alignment horizontal="center"/>
    </xf>
    <xf fontId="16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41" activeCellId="0" sqref="A41"/>
    </sheetView>
  </sheetViews>
  <sheetFormatPr defaultColWidth="11.42578125" defaultRowHeight="14.25"/>
  <cols>
    <col bestFit="1" customWidth="1" min="1" max="1" width="34.7109375"/>
    <col customWidth="1" min="2" max="2" width="9.7109375"/>
    <col bestFit="1" customWidth="1" min="3" max="3" width="8.5703125"/>
    <col bestFit="1" customWidth="1" min="4" max="4" width="22.42578125"/>
    <col customWidth="1" min="5" max="5" width="6.85546875"/>
    <col bestFit="1" customWidth="1" min="6" max="6" width="6.42578125"/>
    <col bestFit="1" customWidth="1" min="7" max="7" width="2"/>
    <col bestFit="1" customWidth="1" min="8" max="8" width="14.28515625"/>
    <col bestFit="1" customWidth="1" min="9" max="9" width="2"/>
    <col bestFit="1" customWidth="1" min="10" max="10" width="8.5703125"/>
  </cols>
  <sheetData>
    <row r="1" ht="18.75">
      <c r="A1" s="1" t="s">
        <v>0</v>
      </c>
      <c r="B1" s="2"/>
      <c r="C1" s="2"/>
      <c r="D1" s="2"/>
      <c r="E1" s="2"/>
      <c r="F1" s="2"/>
      <c r="G1" s="2"/>
      <c r="H1" s="2"/>
    </row>
    <row r="2" ht="18.75">
      <c r="A2" s="1"/>
      <c r="B2" s="2"/>
      <c r="C2" s="2"/>
      <c r="D2" s="2"/>
      <c r="E2" s="2"/>
      <c r="F2" s="2"/>
      <c r="G2" s="2"/>
      <c r="H2" s="2"/>
    </row>
    <row r="3" ht="18.75">
      <c r="A3" s="3" t="s">
        <v>1</v>
      </c>
      <c r="B3" s="4" t="s">
        <v>2</v>
      </c>
      <c r="C3" s="5"/>
      <c r="D3" s="5"/>
      <c r="E3" s="5"/>
      <c r="F3" s="5"/>
      <c r="G3" s="5"/>
      <c r="H3" s="5"/>
      <c r="I3" s="6"/>
      <c r="J3" s="6"/>
      <c r="K3" s="6"/>
    </row>
    <row r="4" ht="18.75">
      <c r="A4" s="3"/>
      <c r="B4" s="7" t="s">
        <v>3</v>
      </c>
      <c r="C4" s="8"/>
      <c r="D4" s="8"/>
      <c r="E4" s="8"/>
      <c r="F4" s="8"/>
      <c r="G4" s="8"/>
      <c r="H4" s="8"/>
      <c r="I4" s="9"/>
      <c r="J4" s="9"/>
      <c r="K4" s="9"/>
    </row>
    <row r="6">
      <c r="A6" s="10" t="s">
        <v>4</v>
      </c>
    </row>
    <row r="7">
      <c r="B7" s="11">
        <v>80</v>
      </c>
      <c r="C7" t="s">
        <v>5</v>
      </c>
      <c r="D7" t="s">
        <v>6</v>
      </c>
      <c r="F7" t="s">
        <v>7</v>
      </c>
      <c r="G7" s="12" t="s">
        <v>8</v>
      </c>
      <c r="H7" t="s">
        <v>9</v>
      </c>
      <c r="I7" s="12" t="s">
        <v>8</v>
      </c>
      <c r="J7" s="13">
        <f>2^24/H9</f>
        <v>1.3981013333333334</v>
      </c>
      <c r="K7" t="s">
        <v>10</v>
      </c>
    </row>
    <row r="8">
      <c r="B8" s="14">
        <v>256</v>
      </c>
      <c r="C8" t="s">
        <v>11</v>
      </c>
      <c r="D8" t="s">
        <v>12</v>
      </c>
      <c r="F8" t="s">
        <v>13</v>
      </c>
      <c r="G8" s="12" t="s">
        <v>8</v>
      </c>
      <c r="H8" t="s">
        <v>14</v>
      </c>
      <c r="J8" t="s">
        <v>15</v>
      </c>
    </row>
    <row r="9">
      <c r="B9" s="15">
        <v>1.8</v>
      </c>
      <c r="C9" s="16" t="s">
        <v>16</v>
      </c>
      <c r="D9" s="16" t="s">
        <v>17</v>
      </c>
      <c r="F9" s="16" t="s">
        <v>18</v>
      </c>
      <c r="G9" s="12" t="s">
        <v>8</v>
      </c>
      <c r="H9" s="15">
        <v>12000000</v>
      </c>
      <c r="I9" s="16"/>
      <c r="J9" s="16" t="s">
        <v>19</v>
      </c>
    </row>
    <row r="10">
      <c r="B10">
        <v>200</v>
      </c>
      <c r="C10" t="s">
        <v>20</v>
      </c>
      <c r="D10" t="s">
        <v>21</v>
      </c>
    </row>
    <row r="11">
      <c r="B11">
        <f>B10*B8</f>
        <v>51200</v>
      </c>
      <c r="C11" t="s">
        <v>22</v>
      </c>
      <c r="D11" t="s">
        <v>23</v>
      </c>
    </row>
    <row r="12">
      <c r="B12" s="15">
        <v>1</v>
      </c>
      <c r="C12" s="12" t="s">
        <v>24</v>
      </c>
      <c r="D12" s="16" t="s">
        <v>25</v>
      </c>
    </row>
    <row r="14">
      <c r="A14" s="10" t="s">
        <v>26</v>
      </c>
      <c r="C14" s="10"/>
      <c r="D14" s="10"/>
    </row>
    <row r="15">
      <c r="B15" s="17">
        <f>B25</f>
        <v>95443.717688888879</v>
      </c>
      <c r="C15" t="s">
        <v>13</v>
      </c>
      <c r="D15" t="s">
        <v>15</v>
      </c>
      <c r="F15" t="s">
        <v>27</v>
      </c>
    </row>
    <row r="16">
      <c r="B16" s="18">
        <f>B15/$J$7/$B$11</f>
        <v>1.333333333333333</v>
      </c>
      <c r="C16" t="s">
        <v>28</v>
      </c>
      <c r="D16" t="s">
        <v>29</v>
      </c>
    </row>
    <row r="17">
      <c r="B17" s="18">
        <f>B16*360</f>
        <v>479.99999999999989</v>
      </c>
      <c r="C17" t="s">
        <v>30</v>
      </c>
      <c r="D17" t="s">
        <v>29</v>
      </c>
    </row>
    <row r="18">
      <c r="B18" s="18">
        <f>B17/$B$12</f>
        <v>479.99999999999989</v>
      </c>
      <c r="C18" t="s">
        <v>30</v>
      </c>
      <c r="D18" t="s">
        <v>31</v>
      </c>
    </row>
    <row r="19">
      <c r="B19" s="18">
        <f>B15*H9/2^24</f>
        <v>68266.666666666657</v>
      </c>
      <c r="C19" t="s">
        <v>19</v>
      </c>
      <c r="D19" t="s">
        <v>32</v>
      </c>
    </row>
    <row r="20">
      <c r="B20" s="19">
        <f>B18/360</f>
        <v>1.333333333333333</v>
      </c>
      <c r="C20" s="10" t="s">
        <v>28</v>
      </c>
      <c r="D20" s="10" t="s">
        <v>31</v>
      </c>
    </row>
    <row r="21">
      <c r="B21" s="19"/>
      <c r="C21" s="10"/>
      <c r="D21" s="10"/>
    </row>
    <row r="22">
      <c r="A22" s="10" t="s">
        <v>33</v>
      </c>
      <c r="C22" s="10"/>
      <c r="D22" s="10"/>
    </row>
    <row r="23">
      <c r="B23" s="20">
        <f>B7/60</f>
        <v>1.3333333333333333</v>
      </c>
      <c r="C23" t="s">
        <v>28</v>
      </c>
      <c r="D23" t="s">
        <v>29</v>
      </c>
      <c r="F23" t="s">
        <v>34</v>
      </c>
    </row>
    <row r="24">
      <c r="B24" s="18">
        <f>B23*360</f>
        <v>480</v>
      </c>
      <c r="C24" t="s">
        <v>30</v>
      </c>
      <c r="D24" t="s">
        <v>29</v>
      </c>
    </row>
    <row r="25">
      <c r="B25" s="21">
        <f>B23*$B$11*$J$7</f>
        <v>95443.717688888879</v>
      </c>
      <c r="C25" s="10" t="s">
        <v>13</v>
      </c>
      <c r="D25" t="s">
        <v>15</v>
      </c>
    </row>
    <row r="26">
      <c r="B26" s="21"/>
      <c r="C26" s="10"/>
    </row>
    <row r="27">
      <c r="A27" s="10" t="s">
        <v>35</v>
      </c>
      <c r="C27" s="10"/>
      <c r="D27" s="10"/>
    </row>
    <row r="28">
      <c r="A28" s="10"/>
      <c r="B28" s="20">
        <f>B23</f>
        <v>1.3333333333333333</v>
      </c>
      <c r="C28" t="s">
        <v>28</v>
      </c>
      <c r="D28" t="s">
        <v>31</v>
      </c>
    </row>
    <row r="29">
      <c r="B29" s="18">
        <f>B28*360</f>
        <v>480</v>
      </c>
      <c r="C29" t="s">
        <v>30</v>
      </c>
      <c r="D29" t="s">
        <v>31</v>
      </c>
    </row>
    <row r="30">
      <c r="B30" s="18">
        <f>B28*B12</f>
        <v>1.3333333333333333</v>
      </c>
      <c r="C30" t="s">
        <v>28</v>
      </c>
      <c r="D30" t="s">
        <v>29</v>
      </c>
    </row>
    <row r="31">
      <c r="B31" s="18">
        <f>B30*360</f>
        <v>480</v>
      </c>
      <c r="C31" t="s">
        <v>30</v>
      </c>
      <c r="D31" t="s">
        <v>29</v>
      </c>
    </row>
    <row r="32">
      <c r="B32" s="21">
        <f>B30*$B$11*$J$7</f>
        <v>95443.717688888879</v>
      </c>
      <c r="C32" s="10" t="s">
        <v>13</v>
      </c>
      <c r="D32" s="10" t="s">
        <v>15</v>
      </c>
    </row>
    <row r="34">
      <c r="A34" s="10" t="s">
        <v>36</v>
      </c>
      <c r="C34" s="10"/>
      <c r="D34" s="10"/>
    </row>
    <row r="35">
      <c r="B35" s="17">
        <f>B15</f>
        <v>95443.717688888879</v>
      </c>
      <c r="C35" t="s">
        <v>13</v>
      </c>
      <c r="D35" t="s">
        <v>15</v>
      </c>
    </row>
    <row r="36">
      <c r="B36" s="21">
        <f>MIN((2^20-1),2^24/B35*B8/256)</f>
        <v>175.78125000000003</v>
      </c>
      <c r="C36" s="10" t="s">
        <v>37</v>
      </c>
      <c r="D36" t="s">
        <v>38</v>
      </c>
    </row>
    <row r="40" ht="14.25">
      <c r="A40" t="s">
        <v>39</v>
      </c>
      <c r="B40" s="22" t="s">
        <v>40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mergeCells count="1">
    <mergeCell ref="B40:M40"/>
  </mergeCell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6" workbookViewId="0" zoomScale="100">
      <selection activeCell="E50" activeCellId="0" sqref="E50"/>
    </sheetView>
  </sheetViews>
  <sheetFormatPr defaultColWidth="11.42578125" defaultRowHeight="14.25"/>
  <cols>
    <col customWidth="1" min="1" max="1" width="17"/>
    <col customWidth="1" min="2" max="2" style="23" width="22.85546875"/>
    <col customWidth="1" min="4" max="4" width="5.5703125"/>
    <col customWidth="1" min="5" max="5" width="14.42578125"/>
    <col customWidth="1" min="8" max="8" width="12.7109375"/>
    <col customWidth="1" min="258" max="258" width="22.85546875"/>
    <col customWidth="1" min="260" max="260" width="5.5703125"/>
    <col customWidth="1" min="261" max="261" width="14.42578125"/>
    <col customWidth="1" min="514" max="514" width="22.85546875"/>
    <col customWidth="1" min="516" max="516" width="5.5703125"/>
    <col customWidth="1" min="517" max="517" width="14.42578125"/>
    <col customWidth="1" min="770" max="770" width="22.85546875"/>
    <col customWidth="1" min="772" max="772" width="5.5703125"/>
    <col customWidth="1" min="773" max="773" width="14.42578125"/>
    <col customWidth="1" min="1026" max="1026" width="22.85546875"/>
    <col customWidth="1" min="1028" max="1028" width="5.5703125"/>
    <col customWidth="1" min="1029" max="1029" width="14.42578125"/>
    <col customWidth="1" min="1282" max="1282" width="22.85546875"/>
    <col customWidth="1" min="1284" max="1284" width="5.5703125"/>
    <col customWidth="1" min="1285" max="1285" width="14.42578125"/>
    <col customWidth="1" min="1538" max="1538" width="22.85546875"/>
    <col customWidth="1" min="1540" max="1540" width="5.5703125"/>
    <col customWidth="1" min="1541" max="1541" width="14.42578125"/>
    <col customWidth="1" min="1794" max="1794" width="22.85546875"/>
    <col customWidth="1" min="1796" max="1796" width="5.5703125"/>
    <col customWidth="1" min="1797" max="1797" width="14.42578125"/>
    <col customWidth="1" min="2050" max="2050" width="22.85546875"/>
    <col customWidth="1" min="2052" max="2052" width="5.5703125"/>
    <col customWidth="1" min="2053" max="2053" width="14.42578125"/>
    <col customWidth="1" min="2306" max="2306" width="22.85546875"/>
    <col customWidth="1" min="2308" max="2308" width="5.5703125"/>
    <col customWidth="1" min="2309" max="2309" width="14.42578125"/>
    <col customWidth="1" min="2562" max="2562" width="22.85546875"/>
    <col customWidth="1" min="2564" max="2564" width="5.5703125"/>
    <col customWidth="1" min="2565" max="2565" width="14.42578125"/>
    <col customWidth="1" min="2818" max="2818" width="22.85546875"/>
    <col customWidth="1" min="2820" max="2820" width="5.5703125"/>
    <col customWidth="1" min="2821" max="2821" width="14.42578125"/>
    <col customWidth="1" min="3074" max="3074" width="22.85546875"/>
    <col customWidth="1" min="3076" max="3076" width="5.5703125"/>
    <col customWidth="1" min="3077" max="3077" width="14.42578125"/>
    <col customWidth="1" min="3330" max="3330" width="22.85546875"/>
    <col customWidth="1" min="3332" max="3332" width="5.5703125"/>
    <col customWidth="1" min="3333" max="3333" width="14.42578125"/>
    <col customWidth="1" min="3586" max="3586" width="22.85546875"/>
    <col customWidth="1" min="3588" max="3588" width="5.5703125"/>
    <col customWidth="1" min="3589" max="3589" width="14.42578125"/>
    <col customWidth="1" min="3842" max="3842" width="22.85546875"/>
    <col customWidth="1" min="3844" max="3844" width="5.5703125"/>
    <col customWidth="1" min="3845" max="3845" width="14.42578125"/>
    <col customWidth="1" min="4098" max="4098" width="22.85546875"/>
    <col customWidth="1" min="4100" max="4100" width="5.5703125"/>
    <col customWidth="1" min="4101" max="4101" width="14.42578125"/>
    <col customWidth="1" min="4354" max="4354" width="22.85546875"/>
    <col customWidth="1" min="4356" max="4356" width="5.5703125"/>
    <col customWidth="1" min="4357" max="4357" width="14.42578125"/>
    <col customWidth="1" min="4610" max="4610" width="22.85546875"/>
    <col customWidth="1" min="4612" max="4612" width="5.5703125"/>
    <col customWidth="1" min="4613" max="4613" width="14.42578125"/>
    <col customWidth="1" min="4866" max="4866" width="22.85546875"/>
    <col customWidth="1" min="4868" max="4868" width="5.5703125"/>
    <col customWidth="1" min="4869" max="4869" width="14.42578125"/>
    <col customWidth="1" min="5122" max="5122" width="22.85546875"/>
    <col customWidth="1" min="5124" max="5124" width="5.5703125"/>
    <col customWidth="1" min="5125" max="5125" width="14.42578125"/>
    <col customWidth="1" min="5378" max="5378" width="22.85546875"/>
    <col customWidth="1" min="5380" max="5380" width="5.5703125"/>
    <col customWidth="1" min="5381" max="5381" width="14.42578125"/>
    <col customWidth="1" min="5634" max="5634" width="22.85546875"/>
    <col customWidth="1" min="5636" max="5636" width="5.5703125"/>
    <col customWidth="1" min="5637" max="5637" width="14.42578125"/>
    <col customWidth="1" min="5890" max="5890" width="22.85546875"/>
    <col customWidth="1" min="5892" max="5892" width="5.5703125"/>
    <col customWidth="1" min="5893" max="5893" width="14.42578125"/>
    <col customWidth="1" min="6146" max="6146" width="22.85546875"/>
    <col customWidth="1" min="6148" max="6148" width="5.5703125"/>
    <col customWidth="1" min="6149" max="6149" width="14.42578125"/>
    <col customWidth="1" min="6402" max="6402" width="22.85546875"/>
    <col customWidth="1" min="6404" max="6404" width="5.5703125"/>
    <col customWidth="1" min="6405" max="6405" width="14.42578125"/>
    <col customWidth="1" min="6658" max="6658" width="22.85546875"/>
    <col customWidth="1" min="6660" max="6660" width="5.5703125"/>
    <col customWidth="1" min="6661" max="6661" width="14.42578125"/>
    <col customWidth="1" min="6914" max="6914" width="22.85546875"/>
    <col customWidth="1" min="6916" max="6916" width="5.5703125"/>
    <col customWidth="1" min="6917" max="6917" width="14.42578125"/>
    <col customWidth="1" min="7170" max="7170" width="22.85546875"/>
    <col customWidth="1" min="7172" max="7172" width="5.5703125"/>
    <col customWidth="1" min="7173" max="7173" width="14.42578125"/>
    <col customWidth="1" min="7426" max="7426" width="22.85546875"/>
    <col customWidth="1" min="7428" max="7428" width="5.5703125"/>
    <col customWidth="1" min="7429" max="7429" width="14.42578125"/>
    <col customWidth="1" min="7682" max="7682" width="22.85546875"/>
    <col customWidth="1" min="7684" max="7684" width="5.5703125"/>
    <col customWidth="1" min="7685" max="7685" width="14.42578125"/>
    <col customWidth="1" min="7938" max="7938" width="22.85546875"/>
    <col customWidth="1" min="7940" max="7940" width="5.5703125"/>
    <col customWidth="1" min="7941" max="7941" width="14.42578125"/>
    <col customWidth="1" min="8194" max="8194" width="22.85546875"/>
    <col customWidth="1" min="8196" max="8196" width="5.5703125"/>
    <col customWidth="1" min="8197" max="8197" width="14.42578125"/>
    <col customWidth="1" min="8450" max="8450" width="22.85546875"/>
    <col customWidth="1" min="8452" max="8452" width="5.5703125"/>
    <col customWidth="1" min="8453" max="8453" width="14.42578125"/>
    <col customWidth="1" min="8706" max="8706" width="22.85546875"/>
    <col customWidth="1" min="8708" max="8708" width="5.5703125"/>
    <col customWidth="1" min="8709" max="8709" width="14.42578125"/>
    <col customWidth="1" min="8962" max="8962" width="22.85546875"/>
    <col customWidth="1" min="8964" max="8964" width="5.5703125"/>
    <col customWidth="1" min="8965" max="8965" width="14.42578125"/>
    <col customWidth="1" min="9218" max="9218" width="22.85546875"/>
    <col customWidth="1" min="9220" max="9220" width="5.5703125"/>
    <col customWidth="1" min="9221" max="9221" width="14.42578125"/>
    <col customWidth="1" min="9474" max="9474" width="22.85546875"/>
    <col customWidth="1" min="9476" max="9476" width="5.5703125"/>
    <col customWidth="1" min="9477" max="9477" width="14.42578125"/>
    <col customWidth="1" min="9730" max="9730" width="22.85546875"/>
    <col customWidth="1" min="9732" max="9732" width="5.5703125"/>
    <col customWidth="1" min="9733" max="9733" width="14.42578125"/>
    <col customWidth="1" min="9986" max="9986" width="22.85546875"/>
    <col customWidth="1" min="9988" max="9988" width="5.5703125"/>
    <col customWidth="1" min="9989" max="9989" width="14.42578125"/>
    <col customWidth="1" min="10242" max="10242" width="22.85546875"/>
    <col customWidth="1" min="10244" max="10244" width="5.5703125"/>
    <col customWidth="1" min="10245" max="10245" width="14.42578125"/>
    <col customWidth="1" min="10498" max="10498" width="22.85546875"/>
    <col customWidth="1" min="10500" max="10500" width="5.5703125"/>
    <col customWidth="1" min="10501" max="10501" width="14.42578125"/>
    <col customWidth="1" min="10754" max="10754" width="22.85546875"/>
    <col customWidth="1" min="10756" max="10756" width="5.5703125"/>
    <col customWidth="1" min="10757" max="10757" width="14.42578125"/>
    <col customWidth="1" min="11010" max="11010" width="22.85546875"/>
    <col customWidth="1" min="11012" max="11012" width="5.5703125"/>
    <col customWidth="1" min="11013" max="11013" width="14.42578125"/>
    <col customWidth="1" min="11266" max="11266" width="22.85546875"/>
    <col customWidth="1" min="11268" max="11268" width="5.5703125"/>
    <col customWidth="1" min="11269" max="11269" width="14.42578125"/>
    <col customWidth="1" min="11522" max="11522" width="22.85546875"/>
    <col customWidth="1" min="11524" max="11524" width="5.5703125"/>
    <col customWidth="1" min="11525" max="11525" width="14.42578125"/>
    <col customWidth="1" min="11778" max="11778" width="22.85546875"/>
    <col customWidth="1" min="11780" max="11780" width="5.5703125"/>
    <col customWidth="1" min="11781" max="11781" width="14.42578125"/>
    <col customWidth="1" min="12034" max="12034" width="22.85546875"/>
    <col customWidth="1" min="12036" max="12036" width="5.5703125"/>
    <col customWidth="1" min="12037" max="12037" width="14.42578125"/>
    <col customWidth="1" min="12290" max="12290" width="22.85546875"/>
    <col customWidth="1" min="12292" max="12292" width="5.5703125"/>
    <col customWidth="1" min="12293" max="12293" width="14.42578125"/>
    <col customWidth="1" min="12546" max="12546" width="22.85546875"/>
    <col customWidth="1" min="12548" max="12548" width="5.5703125"/>
    <col customWidth="1" min="12549" max="12549" width="14.42578125"/>
    <col customWidth="1" min="12802" max="12802" width="22.85546875"/>
    <col customWidth="1" min="12804" max="12804" width="5.5703125"/>
    <col customWidth="1" min="12805" max="12805" width="14.42578125"/>
    <col customWidth="1" min="13058" max="13058" width="22.85546875"/>
    <col customWidth="1" min="13060" max="13060" width="5.5703125"/>
    <col customWidth="1" min="13061" max="13061" width="14.42578125"/>
    <col customWidth="1" min="13314" max="13314" width="22.85546875"/>
    <col customWidth="1" min="13316" max="13316" width="5.5703125"/>
    <col customWidth="1" min="13317" max="13317" width="14.42578125"/>
    <col customWidth="1" min="13570" max="13570" width="22.85546875"/>
    <col customWidth="1" min="13572" max="13572" width="5.5703125"/>
    <col customWidth="1" min="13573" max="13573" width="14.42578125"/>
    <col customWidth="1" min="13826" max="13826" width="22.85546875"/>
    <col customWidth="1" min="13828" max="13828" width="5.5703125"/>
    <col customWidth="1" min="13829" max="13829" width="14.42578125"/>
    <col customWidth="1" min="14082" max="14082" width="22.85546875"/>
    <col customWidth="1" min="14084" max="14084" width="5.5703125"/>
    <col customWidth="1" min="14085" max="14085" width="14.42578125"/>
    <col customWidth="1" min="14338" max="14338" width="22.85546875"/>
    <col customWidth="1" min="14340" max="14340" width="5.5703125"/>
    <col customWidth="1" min="14341" max="14341" width="14.42578125"/>
    <col customWidth="1" min="14594" max="14594" width="22.85546875"/>
    <col customWidth="1" min="14596" max="14596" width="5.5703125"/>
    <col customWidth="1" min="14597" max="14597" width="14.42578125"/>
    <col customWidth="1" min="14850" max="14850" width="22.85546875"/>
    <col customWidth="1" min="14852" max="14852" width="5.5703125"/>
    <col customWidth="1" min="14853" max="14853" width="14.42578125"/>
    <col customWidth="1" min="15106" max="15106" width="22.85546875"/>
    <col customWidth="1" min="15108" max="15108" width="5.5703125"/>
    <col customWidth="1" min="15109" max="15109" width="14.42578125"/>
    <col customWidth="1" min="15362" max="15362" width="22.85546875"/>
    <col customWidth="1" min="15364" max="15364" width="5.5703125"/>
    <col customWidth="1" min="15365" max="15365" width="14.42578125"/>
    <col customWidth="1" min="15618" max="15618" width="22.85546875"/>
    <col customWidth="1" min="15620" max="15620" width="5.5703125"/>
    <col customWidth="1" min="15621" max="15621" width="14.42578125"/>
    <col customWidth="1" min="15874" max="15874" width="22.85546875"/>
    <col customWidth="1" min="15876" max="15876" width="5.5703125"/>
    <col customWidth="1" min="15877" max="15877" width="14.42578125"/>
    <col customWidth="1" min="16130" max="16130" width="22.85546875"/>
    <col customWidth="1" min="16132" max="16132" width="5.5703125"/>
    <col customWidth="1" min="16133" max="16133" width="14.42578125"/>
  </cols>
  <sheetData>
    <row r="1" ht="90" customHeigh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>
      <c r="A3" s="10" t="s">
        <v>1</v>
      </c>
      <c r="B3" s="6" t="s">
        <v>42</v>
      </c>
      <c r="C3" s="6"/>
      <c r="D3" s="6"/>
      <c r="E3" s="6"/>
      <c r="F3" s="6"/>
      <c r="G3" s="6"/>
      <c r="H3" s="6"/>
      <c r="I3" s="6"/>
      <c r="J3" s="6"/>
      <c r="K3" s="6"/>
    </row>
    <row r="4">
      <c r="A4" s="10"/>
      <c r="B4" s="9" t="s">
        <v>43</v>
      </c>
      <c r="C4" s="9"/>
      <c r="D4" s="9"/>
      <c r="E4" s="9"/>
      <c r="F4" s="9"/>
      <c r="G4" s="9"/>
      <c r="H4" s="9"/>
      <c r="I4" s="9"/>
      <c r="J4" s="9"/>
      <c r="K4" s="9"/>
    </row>
    <row r="5">
      <c r="A5" s="10"/>
      <c r="B5" s="9" t="s">
        <v>44</v>
      </c>
      <c r="C5" s="9"/>
      <c r="D5" s="9"/>
      <c r="E5" s="9"/>
      <c r="F5" s="9"/>
      <c r="G5" s="9"/>
      <c r="H5" s="9"/>
      <c r="I5" s="9"/>
      <c r="J5" s="9"/>
      <c r="K5" s="9"/>
    </row>
    <row r="6">
      <c r="A6" s="10"/>
      <c r="B6" s="25" t="s">
        <v>45</v>
      </c>
      <c r="C6" s="25"/>
      <c r="D6" s="25"/>
      <c r="E6" s="25"/>
      <c r="F6" s="25"/>
      <c r="G6" s="25"/>
      <c r="H6" s="25"/>
      <c r="I6" s="25"/>
      <c r="J6" s="25"/>
      <c r="K6" s="25"/>
    </row>
    <row r="8">
      <c r="A8" s="10" t="s">
        <v>4</v>
      </c>
    </row>
    <row r="9">
      <c r="A9" s="10"/>
      <c r="B9" s="23" t="s">
        <v>46</v>
      </c>
      <c r="C9" s="11">
        <v>12</v>
      </c>
      <c r="E9" s="16" t="s">
        <v>47</v>
      </c>
      <c r="H9" t="s">
        <v>48</v>
      </c>
      <c r="L9" s="26" t="s">
        <v>49</v>
      </c>
      <c r="M9" s="26"/>
      <c r="N9" s="26"/>
      <c r="O9" s="26"/>
      <c r="P9" s="26"/>
    </row>
    <row r="10">
      <c r="B10" s="23" t="s">
        <v>50</v>
      </c>
      <c r="C10">
        <f>1/(1000000*C9)</f>
        <v>8.3333333333333338e-008</v>
      </c>
      <c r="L10" s="27" t="s">
        <v>51</v>
      </c>
      <c r="M10" s="28">
        <v>16</v>
      </c>
      <c r="N10" s="27">
        <v>24</v>
      </c>
      <c r="O10" s="28">
        <v>32</v>
      </c>
      <c r="P10" s="27">
        <v>40</v>
      </c>
    </row>
    <row r="11">
      <c r="B11" s="23" t="s">
        <v>52</v>
      </c>
      <c r="C11" s="29">
        <v>24</v>
      </c>
      <c r="E11" t="s">
        <v>53</v>
      </c>
      <c r="H11" t="s">
        <v>54</v>
      </c>
      <c r="L11" s="30"/>
      <c r="M11" s="28">
        <v>0</v>
      </c>
      <c r="N11" s="27">
        <v>1</v>
      </c>
      <c r="O11" s="28">
        <v>2</v>
      </c>
      <c r="P11" s="27">
        <v>3</v>
      </c>
    </row>
    <row r="12">
      <c r="B12" s="31" t="s">
        <v>55</v>
      </c>
      <c r="C12" s="32">
        <v>2</v>
      </c>
      <c r="E12" t="s">
        <v>56</v>
      </c>
      <c r="H12" t="s">
        <v>57</v>
      </c>
      <c r="L12" s="30"/>
      <c r="M12" s="28" t="s">
        <v>58</v>
      </c>
      <c r="N12" s="27" t="s">
        <v>59</v>
      </c>
      <c r="O12" s="28" t="s">
        <v>60</v>
      </c>
      <c r="P12" s="27" t="s">
        <v>61</v>
      </c>
    </row>
    <row r="13">
      <c r="B13" s="23" t="s">
        <v>62</v>
      </c>
      <c r="C13" s="33">
        <f>C10*(16+8*C12)</f>
        <v>2.6666666666666668e-006</v>
      </c>
      <c r="E13" t="s">
        <v>63</v>
      </c>
      <c r="L13" s="30"/>
      <c r="M13" s="34" t="s">
        <v>64</v>
      </c>
      <c r="N13" s="34"/>
      <c r="O13" s="34"/>
      <c r="P13" s="30"/>
    </row>
    <row r="14">
      <c r="A14" s="10" t="s">
        <v>65</v>
      </c>
      <c r="C14" s="35"/>
    </row>
    <row r="15">
      <c r="B15" s="23" t="s">
        <v>66</v>
      </c>
      <c r="C15" s="36">
        <v>3.0000000000000001e-003</v>
      </c>
      <c r="D15" s="35"/>
      <c r="E15" t="s">
        <v>67</v>
      </c>
      <c r="H15" s="22" t="s">
        <v>68</v>
      </c>
      <c r="I15" s="22"/>
      <c r="J15" s="22"/>
      <c r="K15" s="22"/>
    </row>
    <row r="16">
      <c r="B16" s="23" t="s">
        <v>69</v>
      </c>
      <c r="C16" s="37">
        <v>1.3999999999999999</v>
      </c>
      <c r="H16" s="22" t="s">
        <v>70</v>
      </c>
      <c r="I16" s="22"/>
      <c r="J16" s="22"/>
      <c r="K16" s="22"/>
    </row>
    <row r="17">
      <c r="B17" s="23" t="s">
        <v>71</v>
      </c>
      <c r="C17" s="32">
        <v>1.99</v>
      </c>
      <c r="E17" t="s">
        <v>72</v>
      </c>
      <c r="H17" s="22" t="s">
        <v>73</v>
      </c>
      <c r="I17" s="22"/>
      <c r="J17" s="22"/>
      <c r="K17" s="22"/>
    </row>
    <row r="18">
      <c r="B18" s="23" t="s">
        <v>74</v>
      </c>
      <c r="C18" s="38">
        <f>C17/SQRT(2)</f>
        <v>1.4071424945612294</v>
      </c>
      <c r="E18" t="s">
        <v>75</v>
      </c>
    </row>
    <row r="19">
      <c r="A19" s="10" t="s">
        <v>76</v>
      </c>
      <c r="C19" s="38"/>
    </row>
    <row r="20">
      <c r="B20" s="23" t="s">
        <v>77</v>
      </c>
      <c r="C20" s="39">
        <v>5</v>
      </c>
      <c r="E20" t="s">
        <v>78</v>
      </c>
    </row>
    <row r="21">
      <c r="B21" s="23" t="s">
        <v>79</v>
      </c>
      <c r="C21" s="33">
        <f>(12+32*C20)*C10</f>
        <v>1.4333333333333334e-005</v>
      </c>
      <c r="E21" t="s">
        <v>80</v>
      </c>
    </row>
    <row r="23">
      <c r="B23" s="23" t="s">
        <v>81</v>
      </c>
      <c r="C23" s="38">
        <f>C11*0.0000002/C15</f>
        <v>1.5999999999999999e-003</v>
      </c>
      <c r="E23" t="s">
        <v>82</v>
      </c>
    </row>
    <row r="24">
      <c r="B24" s="23" t="s">
        <v>83</v>
      </c>
      <c r="C24" s="38">
        <f>C11*C13/C15</f>
        <v>2.1333333333333336e-002</v>
      </c>
      <c r="E24" t="s">
        <v>84</v>
      </c>
    </row>
    <row r="25">
      <c r="B25" s="23" t="s">
        <v>85</v>
      </c>
      <c r="C25" s="38">
        <f>C16*C17*2*C21/C15</f>
        <v>2.6621777777777779e-002</v>
      </c>
      <c r="E25" t="s">
        <v>86</v>
      </c>
    </row>
    <row r="27">
      <c r="B27" s="23" t="s">
        <v>87</v>
      </c>
      <c r="C27" s="39">
        <v>31</v>
      </c>
      <c r="E27" t="s">
        <v>88</v>
      </c>
    </row>
    <row r="28">
      <c r="B28" s="23" t="s">
        <v>89</v>
      </c>
      <c r="C28" s="40" t="str">
        <f>IF(C27&lt;16,"Current scaler is quite small - values above 16 are best for good microstepping","OK")</f>
        <v>OK</v>
      </c>
    </row>
    <row r="29">
      <c r="A29" s="41" t="s">
        <v>90</v>
      </c>
      <c r="B29" s="42"/>
      <c r="C29" s="43"/>
      <c r="D29" s="44"/>
      <c r="E29" s="44"/>
      <c r="F29" s="44"/>
      <c r="G29" s="44"/>
      <c r="H29" s="44"/>
    </row>
    <row r="30">
      <c r="B30" s="45" t="s">
        <v>91</v>
      </c>
      <c r="C30" s="46">
        <f>MAX(0.5+(C23+C24+C25)*2*248*(C27+1)/C17/32-8,-2)</f>
        <v>4.851424678950309</v>
      </c>
      <c r="E30" t="s">
        <v>92</v>
      </c>
      <c r="J30" t="s">
        <v>93</v>
      </c>
    </row>
    <row r="31" ht="15.75">
      <c r="J31" t="s">
        <v>94</v>
      </c>
    </row>
    <row r="32">
      <c r="A32" s="47" t="s">
        <v>95</v>
      </c>
      <c r="C32" s="48" t="s">
        <v>96</v>
      </c>
      <c r="F32" s="49" t="s">
        <v>97</v>
      </c>
      <c r="G32" s="50"/>
      <c r="H32" s="51"/>
    </row>
    <row r="33">
      <c r="B33" s="52" t="s">
        <v>98</v>
      </c>
      <c r="C33" s="53">
        <f>MAX(MIN(C30,8),1)</f>
        <v>4.851424678950309</v>
      </c>
      <c r="E33" t="s">
        <v>99</v>
      </c>
      <c r="F33" s="54">
        <f>C33-1</f>
        <v>3.851424678950309</v>
      </c>
      <c r="G33" s="55" t="s">
        <v>100</v>
      </c>
      <c r="H33" s="56"/>
      <c r="I33" t="s">
        <v>101</v>
      </c>
    </row>
    <row r="34" ht="15.75">
      <c r="B34" s="52" t="s">
        <v>102</v>
      </c>
      <c r="C34" s="53">
        <f>MIN(C30-C33,12)</f>
        <v>0</v>
      </c>
      <c r="E34" t="s">
        <v>103</v>
      </c>
      <c r="F34" s="57">
        <f>C34+3</f>
        <v>3</v>
      </c>
      <c r="G34" s="58" t="s">
        <v>104</v>
      </c>
      <c r="H34" s="59"/>
      <c r="I34" t="s">
        <v>105</v>
      </c>
    </row>
    <row r="35" ht="14.25">
      <c r="E35" t="s">
        <v>106</v>
      </c>
      <c r="G35" t="s">
        <v>107</v>
      </c>
    </row>
    <row r="36">
      <c r="B36" s="23" t="s">
        <v>89</v>
      </c>
      <c r="C36" s="40" t="str">
        <f>IF(C30&gt;20,"Attention: Motor requires very high Hysteresis setting  - try with reduced setting, reduce tBLANK, reduce sense resistor valule, increase fCLK, decrease VM or use classic const_toff_chopper mode", IF(C30&gt;15, "Attention: Result is large, use with CS reduced to maximum 30, or try smaller value of 16","OK"))</f>
        <v>OK</v>
      </c>
    </row>
    <row r="37">
      <c r="C37" s="40"/>
    </row>
    <row r="38">
      <c r="B38" s="23" t="s">
        <v>108</v>
      </c>
      <c r="C38" s="60">
        <f>1/(2*C21+2*C13)/1000</f>
        <v>29.411764705882351</v>
      </c>
      <c r="E38" t="s">
        <v>109</v>
      </c>
    </row>
    <row r="39">
      <c r="B39" s="23" t="s">
        <v>89</v>
      </c>
      <c r="C39" s="40" t="str">
        <f>IF(C38&gt;50,"Attention: Motor frequency might get quite high - work with increased hysteresis setting and measure actual frequency, or use ChopSync",IF(C38&lt;20,"The chopper frequency is low and might become audible - increase slow decay time tOFF","OK"))</f>
        <v>OK</v>
      </c>
      <c r="H39" s="55"/>
    </row>
    <row r="41">
      <c r="B41" s="23" t="s">
        <v>110</v>
      </c>
      <c r="C41" s="18">
        <f>C16*C17/SQRT(2)</f>
        <v>1.9699994923857214</v>
      </c>
      <c r="E41" t="s">
        <v>111</v>
      </c>
    </row>
    <row r="42">
      <c r="A42" s="10" t="s">
        <v>112</v>
      </c>
      <c r="C42" s="18"/>
    </row>
    <row r="43">
      <c r="B43" s="23" t="s">
        <v>113</v>
      </c>
      <c r="C43" s="21">
        <f>20*C41</f>
        <v>39.39998984771443</v>
      </c>
      <c r="E43" s="61" t="s">
        <v>114</v>
      </c>
    </row>
    <row r="44">
      <c r="B44" s="23" t="s">
        <v>115</v>
      </c>
      <c r="C44" s="21">
        <f>C41*2</f>
        <v>3.9399989847714427</v>
      </c>
      <c r="E44" t="s">
        <v>116</v>
      </c>
    </row>
    <row r="45"/>
    <row r="46" ht="15.75">
      <c r="A46" s="10" t="s">
        <v>117</v>
      </c>
    </row>
    <row r="47">
      <c r="B47" s="62" t="s">
        <v>118</v>
      </c>
      <c r="C47" s="63">
        <f>(C27+1)/32/C17*0.32-0.02</f>
        <v>0.14080402010050252</v>
      </c>
      <c r="D47" s="64" t="s">
        <v>119</v>
      </c>
      <c r="E47" t="s">
        <v>120</v>
      </c>
    </row>
    <row r="48" ht="15.75">
      <c r="B48" s="65" t="s">
        <v>121</v>
      </c>
      <c r="C48" s="66">
        <f>(C27+1)/32/C17*0.18-0.02</f>
        <v>7.0452261306532649e-002</v>
      </c>
      <c r="D48" s="67" t="s">
        <v>119</v>
      </c>
      <c r="F48" t="s">
        <v>122</v>
      </c>
    </row>
  </sheetData>
  <mergeCells count="6">
    <mergeCell ref="A1:M1"/>
    <mergeCell ref="L9:P9"/>
    <mergeCell ref="M13:O13"/>
    <mergeCell ref="H15:K15"/>
    <mergeCell ref="H16:K16"/>
    <mergeCell ref="H17:K17"/>
  </mergeCell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stopIfTrue="1" id="{005300BB-0019-4EBB-AA55-00D700FF006D}">
            <xm:f>$C$11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ellIs" priority="1" operator="greaterThan" stopIfTrue="1" id="{00540030-00BD-4DA5-A660-00E000B10004}">
            <xm:f>$C$11</xm:f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3" activeCellId="0" sqref="C33"/>
    </sheetView>
  </sheetViews>
  <sheetFormatPr defaultColWidth="11.42578125" defaultRowHeight="14.25"/>
  <cols>
    <col customWidth="1" min="1" max="1" width="39.85546875"/>
    <col customWidth="1" min="2" max="2" width="23.140625"/>
    <col customWidth="1" min="3" max="3" width="16.85546875"/>
    <col customWidth="1" min="4" max="4" width="17.42578125"/>
    <col customWidth="1" min="5" max="5" width="17.140625"/>
    <col customWidth="1" min="257" max="257" width="39.85546875"/>
    <col customWidth="1" min="258" max="258" width="23.140625"/>
    <col customWidth="1" min="259" max="259" width="16.85546875"/>
    <col customWidth="1" min="260" max="260" width="17.42578125"/>
    <col customWidth="1" min="261" max="261" width="17.140625"/>
    <col customWidth="1" min="513" max="513" width="39.85546875"/>
    <col customWidth="1" min="514" max="514" width="23.140625"/>
    <col customWidth="1" min="515" max="515" width="16.85546875"/>
    <col customWidth="1" min="516" max="516" width="17.42578125"/>
    <col customWidth="1" min="517" max="517" width="17.140625"/>
    <col customWidth="1" min="769" max="769" width="39.85546875"/>
    <col customWidth="1" min="770" max="770" width="23.140625"/>
    <col customWidth="1" min="771" max="771" width="16.85546875"/>
    <col customWidth="1" min="772" max="772" width="17.42578125"/>
    <col customWidth="1" min="773" max="773" width="17.140625"/>
    <col customWidth="1" min="1025" max="1025" width="39.85546875"/>
    <col customWidth="1" min="1026" max="1026" width="23.140625"/>
    <col customWidth="1" min="1027" max="1027" width="16.85546875"/>
    <col customWidth="1" min="1028" max="1028" width="17.42578125"/>
    <col customWidth="1" min="1029" max="1029" width="17.140625"/>
    <col customWidth="1" min="1281" max="1281" width="39.85546875"/>
    <col customWidth="1" min="1282" max="1282" width="23.140625"/>
    <col customWidth="1" min="1283" max="1283" width="16.85546875"/>
    <col customWidth="1" min="1284" max="1284" width="17.42578125"/>
    <col customWidth="1" min="1285" max="1285" width="17.140625"/>
    <col customWidth="1" min="1537" max="1537" width="39.85546875"/>
    <col customWidth="1" min="1538" max="1538" width="23.140625"/>
    <col customWidth="1" min="1539" max="1539" width="16.85546875"/>
    <col customWidth="1" min="1540" max="1540" width="17.42578125"/>
    <col customWidth="1" min="1541" max="1541" width="17.140625"/>
    <col customWidth="1" min="1793" max="1793" width="39.85546875"/>
    <col customWidth="1" min="1794" max="1794" width="23.140625"/>
    <col customWidth="1" min="1795" max="1795" width="16.85546875"/>
    <col customWidth="1" min="1796" max="1796" width="17.42578125"/>
    <col customWidth="1" min="1797" max="1797" width="17.140625"/>
    <col customWidth="1" min="2049" max="2049" width="39.85546875"/>
    <col customWidth="1" min="2050" max="2050" width="23.140625"/>
    <col customWidth="1" min="2051" max="2051" width="16.85546875"/>
    <col customWidth="1" min="2052" max="2052" width="17.42578125"/>
    <col customWidth="1" min="2053" max="2053" width="17.140625"/>
    <col customWidth="1" min="2305" max="2305" width="39.85546875"/>
    <col customWidth="1" min="2306" max="2306" width="23.140625"/>
    <col customWidth="1" min="2307" max="2307" width="16.85546875"/>
    <col customWidth="1" min="2308" max="2308" width="17.42578125"/>
    <col customWidth="1" min="2309" max="2309" width="17.140625"/>
    <col customWidth="1" min="2561" max="2561" width="39.85546875"/>
    <col customWidth="1" min="2562" max="2562" width="23.140625"/>
    <col customWidth="1" min="2563" max="2563" width="16.85546875"/>
    <col customWidth="1" min="2564" max="2564" width="17.42578125"/>
    <col customWidth="1" min="2565" max="2565" width="17.140625"/>
    <col customWidth="1" min="2817" max="2817" width="39.85546875"/>
    <col customWidth="1" min="2818" max="2818" width="23.140625"/>
    <col customWidth="1" min="2819" max="2819" width="16.85546875"/>
    <col customWidth="1" min="2820" max="2820" width="17.42578125"/>
    <col customWidth="1" min="2821" max="2821" width="17.140625"/>
    <col customWidth="1" min="3073" max="3073" width="39.85546875"/>
    <col customWidth="1" min="3074" max="3074" width="23.140625"/>
    <col customWidth="1" min="3075" max="3075" width="16.85546875"/>
    <col customWidth="1" min="3076" max="3076" width="17.42578125"/>
    <col customWidth="1" min="3077" max="3077" width="17.140625"/>
    <col customWidth="1" min="3329" max="3329" width="39.85546875"/>
    <col customWidth="1" min="3330" max="3330" width="23.140625"/>
    <col customWidth="1" min="3331" max="3331" width="16.85546875"/>
    <col customWidth="1" min="3332" max="3332" width="17.42578125"/>
    <col customWidth="1" min="3333" max="3333" width="17.140625"/>
    <col customWidth="1" min="3585" max="3585" width="39.85546875"/>
    <col customWidth="1" min="3586" max="3586" width="23.140625"/>
    <col customWidth="1" min="3587" max="3587" width="16.85546875"/>
    <col customWidth="1" min="3588" max="3588" width="17.42578125"/>
    <col customWidth="1" min="3589" max="3589" width="17.140625"/>
    <col customWidth="1" min="3841" max="3841" width="39.85546875"/>
    <col customWidth="1" min="3842" max="3842" width="23.140625"/>
    <col customWidth="1" min="3843" max="3843" width="16.85546875"/>
    <col customWidth="1" min="3844" max="3844" width="17.42578125"/>
    <col customWidth="1" min="3845" max="3845" width="17.140625"/>
    <col customWidth="1" min="4097" max="4097" width="39.85546875"/>
    <col customWidth="1" min="4098" max="4098" width="23.140625"/>
    <col customWidth="1" min="4099" max="4099" width="16.85546875"/>
    <col customWidth="1" min="4100" max="4100" width="17.42578125"/>
    <col customWidth="1" min="4101" max="4101" width="17.140625"/>
    <col customWidth="1" min="4353" max="4353" width="39.85546875"/>
    <col customWidth="1" min="4354" max="4354" width="23.140625"/>
    <col customWidth="1" min="4355" max="4355" width="16.85546875"/>
    <col customWidth="1" min="4356" max="4356" width="17.42578125"/>
    <col customWidth="1" min="4357" max="4357" width="17.140625"/>
    <col customWidth="1" min="4609" max="4609" width="39.85546875"/>
    <col customWidth="1" min="4610" max="4610" width="23.140625"/>
    <col customWidth="1" min="4611" max="4611" width="16.85546875"/>
    <col customWidth="1" min="4612" max="4612" width="17.42578125"/>
    <col customWidth="1" min="4613" max="4613" width="17.140625"/>
    <col customWidth="1" min="4865" max="4865" width="39.85546875"/>
    <col customWidth="1" min="4866" max="4866" width="23.140625"/>
    <col customWidth="1" min="4867" max="4867" width="16.85546875"/>
    <col customWidth="1" min="4868" max="4868" width="17.42578125"/>
    <col customWidth="1" min="4869" max="4869" width="17.140625"/>
    <col customWidth="1" min="5121" max="5121" width="39.85546875"/>
    <col customWidth="1" min="5122" max="5122" width="23.140625"/>
    <col customWidth="1" min="5123" max="5123" width="16.85546875"/>
    <col customWidth="1" min="5124" max="5124" width="17.42578125"/>
    <col customWidth="1" min="5125" max="5125" width="17.140625"/>
    <col customWidth="1" min="5377" max="5377" width="39.85546875"/>
    <col customWidth="1" min="5378" max="5378" width="23.140625"/>
    <col customWidth="1" min="5379" max="5379" width="16.85546875"/>
    <col customWidth="1" min="5380" max="5380" width="17.42578125"/>
    <col customWidth="1" min="5381" max="5381" width="17.140625"/>
    <col customWidth="1" min="5633" max="5633" width="39.85546875"/>
    <col customWidth="1" min="5634" max="5634" width="23.140625"/>
    <col customWidth="1" min="5635" max="5635" width="16.85546875"/>
    <col customWidth="1" min="5636" max="5636" width="17.42578125"/>
    <col customWidth="1" min="5637" max="5637" width="17.140625"/>
    <col customWidth="1" min="5889" max="5889" width="39.85546875"/>
    <col customWidth="1" min="5890" max="5890" width="23.140625"/>
    <col customWidth="1" min="5891" max="5891" width="16.85546875"/>
    <col customWidth="1" min="5892" max="5892" width="17.42578125"/>
    <col customWidth="1" min="5893" max="5893" width="17.140625"/>
    <col customWidth="1" min="6145" max="6145" width="39.85546875"/>
    <col customWidth="1" min="6146" max="6146" width="23.140625"/>
    <col customWidth="1" min="6147" max="6147" width="16.85546875"/>
    <col customWidth="1" min="6148" max="6148" width="17.42578125"/>
    <col customWidth="1" min="6149" max="6149" width="17.140625"/>
    <col customWidth="1" min="6401" max="6401" width="39.85546875"/>
    <col customWidth="1" min="6402" max="6402" width="23.140625"/>
    <col customWidth="1" min="6403" max="6403" width="16.85546875"/>
    <col customWidth="1" min="6404" max="6404" width="17.42578125"/>
    <col customWidth="1" min="6405" max="6405" width="17.140625"/>
    <col customWidth="1" min="6657" max="6657" width="39.85546875"/>
    <col customWidth="1" min="6658" max="6658" width="23.140625"/>
    <col customWidth="1" min="6659" max="6659" width="16.85546875"/>
    <col customWidth="1" min="6660" max="6660" width="17.42578125"/>
    <col customWidth="1" min="6661" max="6661" width="17.140625"/>
    <col customWidth="1" min="6913" max="6913" width="39.85546875"/>
    <col customWidth="1" min="6914" max="6914" width="23.140625"/>
    <col customWidth="1" min="6915" max="6915" width="16.85546875"/>
    <col customWidth="1" min="6916" max="6916" width="17.42578125"/>
    <col customWidth="1" min="6917" max="6917" width="17.140625"/>
    <col customWidth="1" min="7169" max="7169" width="39.85546875"/>
    <col customWidth="1" min="7170" max="7170" width="23.140625"/>
    <col customWidth="1" min="7171" max="7171" width="16.85546875"/>
    <col customWidth="1" min="7172" max="7172" width="17.42578125"/>
    <col customWidth="1" min="7173" max="7173" width="17.140625"/>
    <col customWidth="1" min="7425" max="7425" width="39.85546875"/>
    <col customWidth="1" min="7426" max="7426" width="23.140625"/>
    <col customWidth="1" min="7427" max="7427" width="16.85546875"/>
    <col customWidth="1" min="7428" max="7428" width="17.42578125"/>
    <col customWidth="1" min="7429" max="7429" width="17.140625"/>
    <col customWidth="1" min="7681" max="7681" width="39.85546875"/>
    <col customWidth="1" min="7682" max="7682" width="23.140625"/>
    <col customWidth="1" min="7683" max="7683" width="16.85546875"/>
    <col customWidth="1" min="7684" max="7684" width="17.42578125"/>
    <col customWidth="1" min="7685" max="7685" width="17.140625"/>
    <col customWidth="1" min="7937" max="7937" width="39.85546875"/>
    <col customWidth="1" min="7938" max="7938" width="23.140625"/>
    <col customWidth="1" min="7939" max="7939" width="16.85546875"/>
    <col customWidth="1" min="7940" max="7940" width="17.42578125"/>
    <col customWidth="1" min="7941" max="7941" width="17.140625"/>
    <col customWidth="1" min="8193" max="8193" width="39.85546875"/>
    <col customWidth="1" min="8194" max="8194" width="23.140625"/>
    <col customWidth="1" min="8195" max="8195" width="16.85546875"/>
    <col customWidth="1" min="8196" max="8196" width="17.42578125"/>
    <col customWidth="1" min="8197" max="8197" width="17.140625"/>
    <col customWidth="1" min="8449" max="8449" width="39.85546875"/>
    <col customWidth="1" min="8450" max="8450" width="23.140625"/>
    <col customWidth="1" min="8451" max="8451" width="16.85546875"/>
    <col customWidth="1" min="8452" max="8452" width="17.42578125"/>
    <col customWidth="1" min="8453" max="8453" width="17.140625"/>
    <col customWidth="1" min="8705" max="8705" width="39.85546875"/>
    <col customWidth="1" min="8706" max="8706" width="23.140625"/>
    <col customWidth="1" min="8707" max="8707" width="16.85546875"/>
    <col customWidth="1" min="8708" max="8708" width="17.42578125"/>
    <col customWidth="1" min="8709" max="8709" width="17.140625"/>
    <col customWidth="1" min="8961" max="8961" width="39.85546875"/>
    <col customWidth="1" min="8962" max="8962" width="23.140625"/>
    <col customWidth="1" min="8963" max="8963" width="16.85546875"/>
    <col customWidth="1" min="8964" max="8964" width="17.42578125"/>
    <col customWidth="1" min="8965" max="8965" width="17.140625"/>
    <col customWidth="1" min="9217" max="9217" width="39.85546875"/>
    <col customWidth="1" min="9218" max="9218" width="23.140625"/>
    <col customWidth="1" min="9219" max="9219" width="16.85546875"/>
    <col customWidth="1" min="9220" max="9220" width="17.42578125"/>
    <col customWidth="1" min="9221" max="9221" width="17.140625"/>
    <col customWidth="1" min="9473" max="9473" width="39.85546875"/>
    <col customWidth="1" min="9474" max="9474" width="23.140625"/>
    <col customWidth="1" min="9475" max="9475" width="16.85546875"/>
    <col customWidth="1" min="9476" max="9476" width="17.42578125"/>
    <col customWidth="1" min="9477" max="9477" width="17.140625"/>
    <col customWidth="1" min="9729" max="9729" width="39.85546875"/>
    <col customWidth="1" min="9730" max="9730" width="23.140625"/>
    <col customWidth="1" min="9731" max="9731" width="16.85546875"/>
    <col customWidth="1" min="9732" max="9732" width="17.42578125"/>
    <col customWidth="1" min="9733" max="9733" width="17.140625"/>
    <col customWidth="1" min="9985" max="9985" width="39.85546875"/>
    <col customWidth="1" min="9986" max="9986" width="23.140625"/>
    <col customWidth="1" min="9987" max="9987" width="16.85546875"/>
    <col customWidth="1" min="9988" max="9988" width="17.42578125"/>
    <col customWidth="1" min="9989" max="9989" width="17.140625"/>
    <col customWidth="1" min="10241" max="10241" width="39.85546875"/>
    <col customWidth="1" min="10242" max="10242" width="23.140625"/>
    <col customWidth="1" min="10243" max="10243" width="16.85546875"/>
    <col customWidth="1" min="10244" max="10244" width="17.42578125"/>
    <col customWidth="1" min="10245" max="10245" width="17.140625"/>
    <col customWidth="1" min="10497" max="10497" width="39.85546875"/>
    <col customWidth="1" min="10498" max="10498" width="23.140625"/>
    <col customWidth="1" min="10499" max="10499" width="16.85546875"/>
    <col customWidth="1" min="10500" max="10500" width="17.42578125"/>
    <col customWidth="1" min="10501" max="10501" width="17.140625"/>
    <col customWidth="1" min="10753" max="10753" width="39.85546875"/>
    <col customWidth="1" min="10754" max="10754" width="23.140625"/>
    <col customWidth="1" min="10755" max="10755" width="16.85546875"/>
    <col customWidth="1" min="10756" max="10756" width="17.42578125"/>
    <col customWidth="1" min="10757" max="10757" width="17.140625"/>
    <col customWidth="1" min="11009" max="11009" width="39.85546875"/>
    <col customWidth="1" min="11010" max="11010" width="23.140625"/>
    <col customWidth="1" min="11011" max="11011" width="16.85546875"/>
    <col customWidth="1" min="11012" max="11012" width="17.42578125"/>
    <col customWidth="1" min="11013" max="11013" width="17.140625"/>
    <col customWidth="1" min="11265" max="11265" width="39.85546875"/>
    <col customWidth="1" min="11266" max="11266" width="23.140625"/>
    <col customWidth="1" min="11267" max="11267" width="16.85546875"/>
    <col customWidth="1" min="11268" max="11268" width="17.42578125"/>
    <col customWidth="1" min="11269" max="11269" width="17.140625"/>
    <col customWidth="1" min="11521" max="11521" width="39.85546875"/>
    <col customWidth="1" min="11522" max="11522" width="23.140625"/>
    <col customWidth="1" min="11523" max="11523" width="16.85546875"/>
    <col customWidth="1" min="11524" max="11524" width="17.42578125"/>
    <col customWidth="1" min="11525" max="11525" width="17.140625"/>
    <col customWidth="1" min="11777" max="11777" width="39.85546875"/>
    <col customWidth="1" min="11778" max="11778" width="23.140625"/>
    <col customWidth="1" min="11779" max="11779" width="16.85546875"/>
    <col customWidth="1" min="11780" max="11780" width="17.42578125"/>
    <col customWidth="1" min="11781" max="11781" width="17.140625"/>
    <col customWidth="1" min="12033" max="12033" width="39.85546875"/>
    <col customWidth="1" min="12034" max="12034" width="23.140625"/>
    <col customWidth="1" min="12035" max="12035" width="16.85546875"/>
    <col customWidth="1" min="12036" max="12036" width="17.42578125"/>
    <col customWidth="1" min="12037" max="12037" width="17.140625"/>
    <col customWidth="1" min="12289" max="12289" width="39.85546875"/>
    <col customWidth="1" min="12290" max="12290" width="23.140625"/>
    <col customWidth="1" min="12291" max="12291" width="16.85546875"/>
    <col customWidth="1" min="12292" max="12292" width="17.42578125"/>
    <col customWidth="1" min="12293" max="12293" width="17.140625"/>
    <col customWidth="1" min="12545" max="12545" width="39.85546875"/>
    <col customWidth="1" min="12546" max="12546" width="23.140625"/>
    <col customWidth="1" min="12547" max="12547" width="16.85546875"/>
    <col customWidth="1" min="12548" max="12548" width="17.42578125"/>
    <col customWidth="1" min="12549" max="12549" width="17.140625"/>
    <col customWidth="1" min="12801" max="12801" width="39.85546875"/>
    <col customWidth="1" min="12802" max="12802" width="23.140625"/>
    <col customWidth="1" min="12803" max="12803" width="16.85546875"/>
    <col customWidth="1" min="12804" max="12804" width="17.42578125"/>
    <col customWidth="1" min="12805" max="12805" width="17.140625"/>
    <col customWidth="1" min="13057" max="13057" width="39.85546875"/>
    <col customWidth="1" min="13058" max="13058" width="23.140625"/>
    <col customWidth="1" min="13059" max="13059" width="16.85546875"/>
    <col customWidth="1" min="13060" max="13060" width="17.42578125"/>
    <col customWidth="1" min="13061" max="13061" width="17.140625"/>
    <col customWidth="1" min="13313" max="13313" width="39.85546875"/>
    <col customWidth="1" min="13314" max="13314" width="23.140625"/>
    <col customWidth="1" min="13315" max="13315" width="16.85546875"/>
    <col customWidth="1" min="13316" max="13316" width="17.42578125"/>
    <col customWidth="1" min="13317" max="13317" width="17.140625"/>
    <col customWidth="1" min="13569" max="13569" width="39.85546875"/>
    <col customWidth="1" min="13570" max="13570" width="23.140625"/>
    <col customWidth="1" min="13571" max="13571" width="16.85546875"/>
    <col customWidth="1" min="13572" max="13572" width="17.42578125"/>
    <col customWidth="1" min="13573" max="13573" width="17.140625"/>
    <col customWidth="1" min="13825" max="13825" width="39.85546875"/>
    <col customWidth="1" min="13826" max="13826" width="23.140625"/>
    <col customWidth="1" min="13827" max="13827" width="16.85546875"/>
    <col customWidth="1" min="13828" max="13828" width="17.42578125"/>
    <col customWidth="1" min="13829" max="13829" width="17.140625"/>
    <col customWidth="1" min="14081" max="14081" width="39.85546875"/>
    <col customWidth="1" min="14082" max="14082" width="23.140625"/>
    <col customWidth="1" min="14083" max="14083" width="16.85546875"/>
    <col customWidth="1" min="14084" max="14084" width="17.42578125"/>
    <col customWidth="1" min="14085" max="14085" width="17.140625"/>
    <col customWidth="1" min="14337" max="14337" width="39.85546875"/>
    <col customWidth="1" min="14338" max="14338" width="23.140625"/>
    <col customWidth="1" min="14339" max="14339" width="16.85546875"/>
    <col customWidth="1" min="14340" max="14340" width="17.42578125"/>
    <col customWidth="1" min="14341" max="14341" width="17.140625"/>
    <col customWidth="1" min="14593" max="14593" width="39.85546875"/>
    <col customWidth="1" min="14594" max="14594" width="23.140625"/>
    <col customWidth="1" min="14595" max="14595" width="16.85546875"/>
    <col customWidth="1" min="14596" max="14596" width="17.42578125"/>
    <col customWidth="1" min="14597" max="14597" width="17.140625"/>
    <col customWidth="1" min="14849" max="14849" width="39.85546875"/>
    <col customWidth="1" min="14850" max="14850" width="23.140625"/>
    <col customWidth="1" min="14851" max="14851" width="16.85546875"/>
    <col customWidth="1" min="14852" max="14852" width="17.42578125"/>
    <col customWidth="1" min="14853" max="14853" width="17.140625"/>
    <col customWidth="1" min="15105" max="15105" width="39.85546875"/>
    <col customWidth="1" min="15106" max="15106" width="23.140625"/>
    <col customWidth="1" min="15107" max="15107" width="16.85546875"/>
    <col customWidth="1" min="15108" max="15108" width="17.42578125"/>
    <col customWidth="1" min="15109" max="15109" width="17.140625"/>
    <col customWidth="1" min="15361" max="15361" width="39.85546875"/>
    <col customWidth="1" min="15362" max="15362" width="23.140625"/>
    <col customWidth="1" min="15363" max="15363" width="16.85546875"/>
    <col customWidth="1" min="15364" max="15364" width="17.42578125"/>
    <col customWidth="1" min="15365" max="15365" width="17.140625"/>
    <col customWidth="1" min="15617" max="15617" width="39.85546875"/>
    <col customWidth="1" min="15618" max="15618" width="23.140625"/>
    <col customWidth="1" min="15619" max="15619" width="16.85546875"/>
    <col customWidth="1" min="15620" max="15620" width="17.42578125"/>
    <col customWidth="1" min="15621" max="15621" width="17.140625"/>
    <col customWidth="1" min="15873" max="15873" width="39.85546875"/>
    <col customWidth="1" min="15874" max="15874" width="23.140625"/>
    <col customWidth="1" min="15875" max="15875" width="16.85546875"/>
    <col customWidth="1" min="15876" max="15876" width="17.42578125"/>
    <col customWidth="1" min="15877" max="15877" width="17.140625"/>
    <col customWidth="1" min="16129" max="16129" width="39.85546875"/>
    <col customWidth="1" min="16130" max="16130" width="23.140625"/>
    <col customWidth="1" min="16131" max="16131" width="16.85546875"/>
    <col customWidth="1" min="16132" max="16132" width="17.42578125"/>
    <col customWidth="1" min="16133" max="16133" width="17.140625"/>
  </cols>
  <sheetData>
    <row r="1" s="2" customFormat="1" ht="18.75">
      <c r="A1" s="1" t="s">
        <v>123</v>
      </c>
    </row>
    <row r="2">
      <c r="A2" s="61" t="s">
        <v>124</v>
      </c>
      <c r="B2" s="47"/>
    </row>
    <row r="3">
      <c r="A3" s="61"/>
      <c r="B3" s="47"/>
    </row>
    <row r="4">
      <c r="A4" s="10" t="s">
        <v>1</v>
      </c>
      <c r="B4" s="6" t="s">
        <v>125</v>
      </c>
      <c r="C4" s="6"/>
      <c r="D4" s="6"/>
      <c r="E4" s="6"/>
      <c r="F4" s="6"/>
      <c r="G4" s="6"/>
      <c r="H4" s="6"/>
    </row>
    <row r="5">
      <c r="A5" s="10"/>
      <c r="B5" t="s">
        <v>126</v>
      </c>
    </row>
    <row r="6">
      <c r="A6" s="10"/>
    </row>
    <row r="7">
      <c r="B7" s="23"/>
    </row>
    <row r="8">
      <c r="A8" s="10" t="s">
        <v>47</v>
      </c>
      <c r="B8" s="23" t="s">
        <v>46</v>
      </c>
      <c r="C8" s="11">
        <v>12</v>
      </c>
      <c r="E8" s="68" t="s">
        <v>127</v>
      </c>
      <c r="F8" s="6"/>
      <c r="G8" s="6"/>
      <c r="H8" s="6"/>
      <c r="I8" t="s">
        <v>128</v>
      </c>
    </row>
    <row r="9">
      <c r="B9" s="23" t="s">
        <v>50</v>
      </c>
      <c r="C9">
        <f>1/(1000000*C8)</f>
        <v>8.3333333333333338e-008</v>
      </c>
    </row>
    <row r="10">
      <c r="B10" s="23"/>
    </row>
    <row r="11">
      <c r="A11" s="10" t="s">
        <v>129</v>
      </c>
      <c r="B11" s="23" t="s">
        <v>52</v>
      </c>
      <c r="C11" s="11">
        <v>24</v>
      </c>
      <c r="E11" t="s">
        <v>54</v>
      </c>
    </row>
    <row r="12">
      <c r="B12" s="23"/>
      <c r="C12" s="10" t="s">
        <v>130</v>
      </c>
      <c r="D12" s="10"/>
    </row>
    <row r="13">
      <c r="A13" s="10" t="s">
        <v>131</v>
      </c>
      <c r="B13" s="23" t="s">
        <v>71</v>
      </c>
      <c r="C13" s="16">
        <f>1.41*C14</f>
        <v>1.9937399999999998</v>
      </c>
      <c r="D13" s="16"/>
      <c r="E13" t="s">
        <v>132</v>
      </c>
    </row>
    <row r="14">
      <c r="B14" s="23" t="s">
        <v>133</v>
      </c>
      <c r="C14" s="69">
        <v>1.4139999999999999</v>
      </c>
      <c r="D14" s="18"/>
      <c r="E14" t="s">
        <v>134</v>
      </c>
    </row>
    <row r="15">
      <c r="A15" s="10" t="s">
        <v>135</v>
      </c>
      <c r="B15" s="23" t="s">
        <v>136</v>
      </c>
      <c r="C15" s="11">
        <v>1.3999999999999999</v>
      </c>
      <c r="D15" s="70"/>
      <c r="E15" s="71" t="s">
        <v>137</v>
      </c>
      <c r="F15" s="72" t="s">
        <v>138</v>
      </c>
      <c r="G15" s="72"/>
      <c r="H15" s="72"/>
      <c r="I15" s="72"/>
    </row>
    <row r="16">
      <c r="B16" s="23"/>
      <c r="C16" s="18"/>
      <c r="D16" s="18"/>
    </row>
    <row r="17">
      <c r="A17" s="10" t="s">
        <v>139</v>
      </c>
      <c r="B17" s="23" t="s">
        <v>77</v>
      </c>
      <c r="C17" s="11">
        <v>5</v>
      </c>
      <c r="D17" s="16"/>
    </row>
    <row r="18">
      <c r="B18" s="23" t="s">
        <v>79</v>
      </c>
      <c r="C18" s="33">
        <f>(12+32*C17)*C9</f>
        <v>1.4333333333333334e-005</v>
      </c>
      <c r="D18" s="16" t="s">
        <v>140</v>
      </c>
    </row>
    <row r="19" ht="28.5">
      <c r="A19" s="73" t="s">
        <v>141</v>
      </c>
      <c r="B19" s="74" t="s">
        <v>142</v>
      </c>
      <c r="C19" s="75">
        <f>1/((2+4*C20)*C18)/1000</f>
        <v>24.916943521594686</v>
      </c>
      <c r="D19" s="18"/>
      <c r="E19" t="s">
        <v>143</v>
      </c>
    </row>
    <row r="20" ht="28.5">
      <c r="A20" s="73" t="s">
        <v>144</v>
      </c>
      <c r="B20" s="52" t="s">
        <v>145</v>
      </c>
      <c r="C20" s="76">
        <f>MIN(MAX(0.2,2*(C15*C14)/$C11),0.9)</f>
        <v>0.20000000000000001</v>
      </c>
      <c r="D20" s="18"/>
      <c r="E20" t="s">
        <v>146</v>
      </c>
    </row>
    <row r="21">
      <c r="B21" s="23"/>
      <c r="C21" s="18"/>
    </row>
    <row r="22">
      <c r="B22" s="23"/>
      <c r="C22" s="77" t="s">
        <v>147</v>
      </c>
      <c r="D22" s="10"/>
      <c r="E22" s="10"/>
    </row>
    <row r="23">
      <c r="A23" s="10" t="s">
        <v>148</v>
      </c>
      <c r="B23" s="23"/>
      <c r="C23" s="10"/>
      <c r="D23" s="10"/>
      <c r="E23" s="10"/>
    </row>
    <row r="24">
      <c r="A24" t="s">
        <v>149</v>
      </c>
      <c r="B24" s="23" t="s">
        <v>150</v>
      </c>
      <c r="C24">
        <v>0.28999999999999998</v>
      </c>
      <c r="E24" s="14"/>
    </row>
    <row r="25">
      <c r="A25" s="48" t="s">
        <v>151</v>
      </c>
      <c r="B25" s="23" t="s">
        <v>152</v>
      </c>
      <c r="C25">
        <v>0.28000000000000003</v>
      </c>
      <c r="E25" s="14"/>
    </row>
    <row r="26">
      <c r="B26" s="23"/>
      <c r="E26" s="14"/>
    </row>
    <row r="27">
      <c r="A27" t="s">
        <v>153</v>
      </c>
      <c r="B27" s="23" t="s">
        <v>154</v>
      </c>
      <c r="C27" s="78">
        <v>120</v>
      </c>
      <c r="D27" s="53"/>
      <c r="E27" s="16"/>
      <c r="G27" t="s">
        <v>155</v>
      </c>
    </row>
    <row r="28">
      <c r="B28" s="23" t="s">
        <v>156</v>
      </c>
      <c r="C28" s="18">
        <f>0.26*(1+(0.55*(C27-25)/100))+0.03</f>
        <v>0.42584999999999995</v>
      </c>
      <c r="D28" s="18"/>
      <c r="E28" s="38"/>
    </row>
    <row r="29">
      <c r="B29" s="23" t="s">
        <v>157</v>
      </c>
      <c r="C29" s="18">
        <f>0.25*(1+(0.55*(C27-25)/100))+0.03</f>
        <v>0.41062500000000002</v>
      </c>
      <c r="D29" s="18"/>
      <c r="E29" s="38"/>
    </row>
    <row r="30">
      <c r="B30" s="23"/>
      <c r="C30" s="18"/>
      <c r="D30" s="18"/>
      <c r="E30" s="38"/>
    </row>
    <row r="31">
      <c r="A31" t="s">
        <v>158</v>
      </c>
      <c r="B31" s="23" t="s">
        <v>159</v>
      </c>
      <c r="C31" s="53">
        <v>30</v>
      </c>
      <c r="D31" s="53"/>
      <c r="E31" s="53"/>
      <c r="G31" t="s">
        <v>160</v>
      </c>
    </row>
    <row r="32">
      <c r="B32" s="23" t="s">
        <v>161</v>
      </c>
      <c r="C32" s="53">
        <v>40</v>
      </c>
      <c r="D32" s="53"/>
      <c r="E32" s="53"/>
    </row>
    <row r="33">
      <c r="B33" s="23" t="s">
        <v>162</v>
      </c>
      <c r="C33" s="53">
        <v>80</v>
      </c>
      <c r="D33" s="53"/>
      <c r="E33" s="53"/>
    </row>
    <row r="34">
      <c r="B34" s="23" t="s">
        <v>163</v>
      </c>
      <c r="C34" s="53">
        <v>80</v>
      </c>
      <c r="D34" s="53"/>
      <c r="E34" s="53"/>
    </row>
    <row r="35">
      <c r="B35" s="23"/>
      <c r="C35" s="53"/>
      <c r="D35" s="53"/>
      <c r="E35" s="53"/>
    </row>
    <row r="36">
      <c r="A36" s="16" t="s">
        <v>164</v>
      </c>
      <c r="B36" s="23" t="s">
        <v>165</v>
      </c>
      <c r="C36" s="18">
        <f>C28*($C$14^2)*$C$20</f>
        <v>0.17028855731999998</v>
      </c>
      <c r="D36" s="18"/>
      <c r="E36" s="18"/>
    </row>
    <row r="37">
      <c r="A37" s="16" t="s">
        <v>166</v>
      </c>
      <c r="B37" s="23" t="s">
        <v>167</v>
      </c>
      <c r="C37" s="38">
        <f>$C$19*1000*((C33+C32)/1000000000)*$C$11*$C$14*2/2</f>
        <v>0.10146976744186047</v>
      </c>
      <c r="D37" s="38"/>
      <c r="E37" s="38"/>
    </row>
    <row r="38">
      <c r="A38" s="16" t="s">
        <v>168</v>
      </c>
      <c r="B38" s="23" t="s">
        <v>169</v>
      </c>
      <c r="C38" s="18">
        <f>C36+C37</f>
        <v>0.27175832476186046</v>
      </c>
      <c r="D38" s="18"/>
      <c r="E38" s="18"/>
      <c r="G38" s="79"/>
    </row>
    <row r="39">
      <c r="B39" s="23" t="s">
        <v>170</v>
      </c>
      <c r="C39" s="18">
        <f>(1-$C$20+0.5*$C$20)*($C$14^2)*C29</f>
        <v>0.73890178424999997</v>
      </c>
      <c r="D39" s="18"/>
      <c r="E39" s="18"/>
    </row>
    <row r="40">
      <c r="B40" s="23" t="s">
        <v>171</v>
      </c>
      <c r="C40" s="38">
        <f>C19*1000*((C34+C31)/1000000000)*$C$11*C14*2/2</f>
        <v>9.3013953488372103e-002</v>
      </c>
      <c r="D40" s="38"/>
      <c r="E40" s="38"/>
    </row>
    <row r="41">
      <c r="A41" s="16" t="s">
        <v>168</v>
      </c>
      <c r="B41" s="23" t="s">
        <v>172</v>
      </c>
      <c r="C41" s="18">
        <f>C39+C40</f>
        <v>0.83191573773837213</v>
      </c>
      <c r="D41" s="18"/>
      <c r="E41" s="18"/>
      <c r="G41" s="79"/>
    </row>
    <row r="42">
      <c r="A42" s="16"/>
      <c r="B42" s="23"/>
      <c r="C42" s="18"/>
      <c r="D42" s="18"/>
      <c r="E42" s="18"/>
    </row>
    <row r="43">
      <c r="A43" t="s">
        <v>173</v>
      </c>
      <c r="B43" s="23" t="s">
        <v>174</v>
      </c>
      <c r="C43" s="18">
        <f>2*C39+C40+2*C36+C37</f>
        <v>2.0128644040702324</v>
      </c>
      <c r="D43" s="18"/>
      <c r="E43" s="18"/>
    </row>
    <row r="44">
      <c r="A44" s="10" t="s">
        <v>175</v>
      </c>
      <c r="B44" s="23" t="s">
        <v>176</v>
      </c>
      <c r="C44" s="18">
        <f>2*C43</f>
        <v>4.0257288081404647</v>
      </c>
      <c r="D44" s="18"/>
      <c r="E44" s="18"/>
      <c r="G44" s="79"/>
    </row>
    <row r="45">
      <c r="A45" s="10" t="s">
        <v>177</v>
      </c>
      <c r="B45" s="23" t="s">
        <v>178</v>
      </c>
      <c r="C45" s="18">
        <f>C11*(0.0025+0.0005+C8*0.0003)</f>
        <v>0.15839999999999999</v>
      </c>
      <c r="D45" s="18"/>
      <c r="E45" s="18"/>
      <c r="G45" s="79"/>
    </row>
    <row r="46">
      <c r="A46" s="10"/>
      <c r="B46" s="45"/>
      <c r="C46" s="19"/>
      <c r="D46" s="19"/>
      <c r="E46" s="19"/>
      <c r="G46" s="79"/>
    </row>
    <row r="47">
      <c r="A47" s="10" t="s">
        <v>179</v>
      </c>
      <c r="B47" s="45" t="s">
        <v>180</v>
      </c>
      <c r="C47" s="77">
        <f>C44+C45</f>
        <v>4.1841288081404651</v>
      </c>
      <c r="E47" s="19"/>
    </row>
    <row r="48">
      <c r="A48" s="10"/>
      <c r="B48" s="45"/>
      <c r="C48" s="19"/>
      <c r="E48" s="19"/>
    </row>
    <row r="50">
      <c r="A50" s="10" t="s">
        <v>181</v>
      </c>
      <c r="B50" s="23" t="s">
        <v>182</v>
      </c>
      <c r="C50" s="80">
        <v>0.11</v>
      </c>
      <c r="D50" s="81"/>
      <c r="E50" t="s">
        <v>183</v>
      </c>
    </row>
    <row r="51">
      <c r="B51" s="82" t="s">
        <v>184</v>
      </c>
      <c r="C51" s="83">
        <f>C$50*C$14^2*C$20</f>
        <v>4.3986711999999997e-002</v>
      </c>
      <c r="D51" s="19"/>
      <c r="E51" s="14" t="s">
        <v>185</v>
      </c>
      <c r="G51" s="79"/>
    </row>
    <row r="52">
      <c r="B52" s="82" t="s">
        <v>186</v>
      </c>
      <c r="C52" s="83">
        <f>C$50*C$14^2*0.7</f>
        <v>0.15395349199999997</v>
      </c>
      <c r="E52" s="14" t="s">
        <v>187</v>
      </c>
    </row>
    <row r="55">
      <c r="A55" s="84"/>
    </row>
    <row r="56">
      <c r="A56" s="84"/>
    </row>
    <row r="57">
      <c r="A57" s="84"/>
    </row>
    <row r="58">
      <c r="A58" s="84"/>
    </row>
    <row r="60">
      <c r="A60" s="84"/>
      <c r="B60" s="18"/>
    </row>
    <row r="61">
      <c r="A61" s="84"/>
      <c r="B61" s="18"/>
    </row>
    <row r="62">
      <c r="A62" s="84"/>
      <c r="B62" s="85"/>
    </row>
    <row r="63">
      <c r="A63" s="84"/>
      <c r="B63" s="18"/>
    </row>
    <row r="64">
      <c r="A64" s="84"/>
      <c r="B64" s="18"/>
    </row>
    <row r="65">
      <c r="A65" s="84"/>
      <c r="B65" s="18"/>
    </row>
    <row r="66">
      <c r="A66" s="84"/>
      <c r="B66" s="18"/>
    </row>
  </sheetData>
  <mergeCells count="1">
    <mergeCell ref="F15:I15"/>
  </mergeCells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200" verticalDpi="2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9" activeCellId="0" sqref="C39"/>
    </sheetView>
  </sheetViews>
  <sheetFormatPr defaultColWidth="11.42578125" defaultRowHeight="14.25"/>
  <cols>
    <col customWidth="1" min="1" max="1" width="21.7109375"/>
    <col customWidth="1" min="2" max="2" width="17.42578125"/>
    <col customWidth="1" min="3" max="3" width="16.140625"/>
    <col customWidth="1" min="4" max="4" width="39.85546875"/>
  </cols>
  <sheetData>
    <row r="1">
      <c r="A1" t="s">
        <v>188</v>
      </c>
      <c r="B1">
        <v>325</v>
      </c>
      <c r="C1" t="s">
        <v>189</v>
      </c>
    </row>
    <row r="2">
      <c r="A2" t="s">
        <v>190</v>
      </c>
      <c r="B2">
        <v>180</v>
      </c>
      <c r="C2" t="s">
        <v>189</v>
      </c>
    </row>
    <row r="4">
      <c r="A4" t="s">
        <v>191</v>
      </c>
    </row>
    <row r="5" s="10" customFormat="1">
      <c r="A5" s="10" t="s">
        <v>192</v>
      </c>
      <c r="B5" s="10" t="s">
        <v>193</v>
      </c>
      <c r="C5" s="10" t="s">
        <v>194</v>
      </c>
      <c r="D5" s="10" t="s">
        <v>195</v>
      </c>
      <c r="E5" t="s">
        <v>196</v>
      </c>
    </row>
    <row r="6">
      <c r="A6">
        <v>1</v>
      </c>
      <c r="B6" s="18">
        <f t="shared" ref="B6:B17" si="0">$B$1/(A6+0.03)/1000</f>
        <v>0.31553398058252424</v>
      </c>
      <c r="C6" s="18">
        <f t="shared" ref="C6:C17" si="1">B6/SQRT(2)</f>
        <v>0.22311621736468729</v>
      </c>
      <c r="D6" s="18">
        <f t="shared" ref="D6:D17" si="2">A6*C6*C6</f>
        <v>4.9780846451126383e-002</v>
      </c>
    </row>
    <row r="7">
      <c r="A7">
        <v>0.81999999999999995</v>
      </c>
      <c r="B7" s="18">
        <f t="shared" si="0"/>
        <v>0.38235294117647062</v>
      </c>
      <c r="C7" s="18">
        <f t="shared" si="1"/>
        <v>0.27036435751250348</v>
      </c>
      <c r="D7" s="18">
        <f t="shared" si="2"/>
        <v>5.9939446366782015e-002</v>
      </c>
    </row>
    <row r="8">
      <c r="A8">
        <v>0.75</v>
      </c>
      <c r="B8" s="18">
        <f t="shared" si="0"/>
        <v>0.41666666666666663</v>
      </c>
      <c r="C8" s="18">
        <f t="shared" si="1"/>
        <v>0.29462782549439476</v>
      </c>
      <c r="D8" s="18">
        <f t="shared" si="2"/>
        <v>6.5104166666666644e-002</v>
      </c>
    </row>
    <row r="9">
      <c r="A9">
        <v>0.68000000000000005</v>
      </c>
      <c r="B9" s="18">
        <f t="shared" si="0"/>
        <v>0.45774647887323938</v>
      </c>
      <c r="C9" s="18">
        <f t="shared" si="1"/>
        <v>0.32367563927553228</v>
      </c>
      <c r="D9" s="18">
        <f t="shared" si="2"/>
        <v>7.1240825233088653e-002</v>
      </c>
      <c r="F9" t="s">
        <v>197</v>
      </c>
    </row>
    <row r="10">
      <c r="A10">
        <v>0.5</v>
      </c>
      <c r="B10" s="18">
        <f t="shared" si="0"/>
        <v>0.6132075471698113</v>
      </c>
      <c r="C10" s="18">
        <f t="shared" si="1"/>
        <v>0.43360321487854325</v>
      </c>
      <c r="D10" s="18">
        <f t="shared" si="2"/>
        <v>9.4005873976504076e-002</v>
      </c>
    </row>
    <row r="11">
      <c r="A11">
        <v>0.46999999999999997</v>
      </c>
      <c r="B11" s="18">
        <f t="shared" si="0"/>
        <v>0.65000000000000002</v>
      </c>
      <c r="C11" s="18">
        <f t="shared" si="1"/>
        <v>0.45961940777125587</v>
      </c>
      <c r="D11" s="18">
        <f t="shared" si="2"/>
        <v>9.9287499999999987e-002</v>
      </c>
    </row>
    <row r="12">
      <c r="A12">
        <v>0.33000000000000002</v>
      </c>
      <c r="B12" s="18">
        <f t="shared" si="0"/>
        <v>0.90277777777777779</v>
      </c>
      <c r="C12" s="18">
        <f t="shared" si="1"/>
        <v>0.63836028857118865</v>
      </c>
      <c r="D12" s="18">
        <f t="shared" si="2"/>
        <v>0.13447627314814811</v>
      </c>
    </row>
    <row r="13">
      <c r="A13">
        <v>0.27000000000000002</v>
      </c>
      <c r="B13" s="18">
        <f t="shared" si="0"/>
        <v>1.0833333333333333</v>
      </c>
      <c r="C13" s="18">
        <f t="shared" si="1"/>
        <v>0.76603234628542638</v>
      </c>
      <c r="D13" s="18">
        <f t="shared" si="2"/>
        <v>0.15843749999999995</v>
      </c>
    </row>
    <row r="14">
      <c r="A14">
        <v>0.22</v>
      </c>
      <c r="B14" s="18">
        <f t="shared" si="0"/>
        <v>1.3</v>
      </c>
      <c r="C14" s="18">
        <f t="shared" si="1"/>
        <v>0.91923881554251174</v>
      </c>
      <c r="D14" s="18">
        <f t="shared" si="2"/>
        <v>0.18590000000000001</v>
      </c>
      <c r="F14" t="s">
        <v>198</v>
      </c>
    </row>
    <row r="15">
      <c r="A15">
        <v>0.14999999999999999</v>
      </c>
      <c r="B15" s="18">
        <f t="shared" si="0"/>
        <v>1.8055555555555556</v>
      </c>
      <c r="C15" s="18">
        <f t="shared" si="1"/>
        <v>1.2767205771423773</v>
      </c>
      <c r="D15" s="18">
        <f t="shared" si="2"/>
        <v>0.24450231481481474</v>
      </c>
    </row>
    <row r="16">
      <c r="A16">
        <v>0.12</v>
      </c>
      <c r="B16" s="18">
        <f t="shared" si="0"/>
        <v>2.166666666666667</v>
      </c>
      <c r="C16" s="86">
        <f t="shared" si="1"/>
        <v>1.532064692570853</v>
      </c>
      <c r="D16" s="18">
        <f t="shared" si="2"/>
        <v>0.28166666666666668</v>
      </c>
    </row>
    <row r="17">
      <c r="A17">
        <v>0.10000000000000001</v>
      </c>
      <c r="B17" s="18">
        <f t="shared" si="0"/>
        <v>2.5</v>
      </c>
      <c r="C17" s="86">
        <f t="shared" si="1"/>
        <v>1.7677669529663687</v>
      </c>
      <c r="D17" s="18">
        <f t="shared" si="2"/>
        <v>0.31249999999999994</v>
      </c>
      <c r="F17" t="s">
        <v>199</v>
      </c>
    </row>
    <row r="18">
      <c r="D18" s="18"/>
    </row>
    <row r="19">
      <c r="D19" s="18"/>
    </row>
    <row r="20">
      <c r="A20" t="s">
        <v>200</v>
      </c>
      <c r="D20" s="18"/>
    </row>
    <row r="21">
      <c r="A21" s="10" t="s">
        <v>192</v>
      </c>
      <c r="B21" s="10" t="s">
        <v>193</v>
      </c>
      <c r="C21" s="10" t="s">
        <v>194</v>
      </c>
      <c r="D21" s="19"/>
      <c r="E21" t="s">
        <v>196</v>
      </c>
    </row>
    <row r="22">
      <c r="A22">
        <v>1</v>
      </c>
      <c r="B22" s="18">
        <f t="shared" ref="B22:B36" si="3">$B$2/(A22+0.03)/1000</f>
        <v>0.17475728155339806</v>
      </c>
      <c r="C22" s="18">
        <f t="shared" ref="C22:C36" si="4">B22/SQRT(2)</f>
        <v>0.12357205884813452</v>
      </c>
      <c r="D22" s="18">
        <f t="shared" ref="D22:D36" si="5">A22*C22*C22</f>
        <v>1.5270053727966821e-002</v>
      </c>
    </row>
    <row r="23">
      <c r="A23">
        <v>0.81999999999999995</v>
      </c>
      <c r="B23" s="18">
        <f t="shared" si="3"/>
        <v>0.21176470588235297</v>
      </c>
      <c r="C23" s="18">
        <f t="shared" si="4"/>
        <v>0.14974025954538653</v>
      </c>
      <c r="D23" s="18">
        <f t="shared" si="5"/>
        <v>1.8386159169550172e-002</v>
      </c>
    </row>
    <row r="24">
      <c r="A24">
        <v>0.75</v>
      </c>
      <c r="B24" s="18">
        <f t="shared" si="3"/>
        <v>0.23076923076923078</v>
      </c>
      <c r="C24" s="18">
        <f t="shared" si="4"/>
        <v>0.16317848796612636</v>
      </c>
      <c r="D24" s="18">
        <f t="shared" si="5"/>
        <v>1.9970414201183433e-002</v>
      </c>
    </row>
    <row r="25">
      <c r="A25">
        <v>0.68000000000000005</v>
      </c>
      <c r="B25" s="18">
        <f t="shared" si="3"/>
        <v>0.25352112676056338</v>
      </c>
      <c r="C25" s="18">
        <f t="shared" si="4"/>
        <v>0.17926650790644866</v>
      </c>
      <c r="D25" s="18">
        <f t="shared" si="5"/>
        <v>2.1852806982741519e-002</v>
      </c>
    </row>
    <row r="26">
      <c r="A26">
        <v>0.5</v>
      </c>
      <c r="B26" s="18">
        <f t="shared" si="3"/>
        <v>0.33962264150943394</v>
      </c>
      <c r="C26" s="18">
        <f t="shared" si="4"/>
        <v>0.24014947285580857</v>
      </c>
      <c r="D26" s="18">
        <f t="shared" si="5"/>
        <v>2.8835884656461367e-002</v>
      </c>
    </row>
    <row r="27">
      <c r="A27">
        <v>0.46999999999999997</v>
      </c>
      <c r="B27" s="18">
        <f t="shared" si="3"/>
        <v>0.35999999999999999</v>
      </c>
      <c r="C27" s="18">
        <f t="shared" si="4"/>
        <v>0.2545584412271571</v>
      </c>
      <c r="D27" s="18">
        <f t="shared" si="5"/>
        <v>3.0455999999999997e-002</v>
      </c>
    </row>
    <row r="28">
      <c r="A28">
        <v>0.33000000000000002</v>
      </c>
      <c r="B28" s="18">
        <f t="shared" si="3"/>
        <v>0.5</v>
      </c>
      <c r="C28" s="18">
        <f t="shared" si="4"/>
        <v>0.35355339059327373</v>
      </c>
      <c r="D28" s="18">
        <f t="shared" si="5"/>
        <v>4.1249999999999995e-002</v>
      </c>
    </row>
    <row r="29">
      <c r="A29">
        <v>0.27000000000000002</v>
      </c>
      <c r="B29" s="18">
        <f t="shared" si="3"/>
        <v>0.59999999999999987</v>
      </c>
      <c r="C29" s="18">
        <f t="shared" si="4"/>
        <v>0.4242640687119284</v>
      </c>
      <c r="D29" s="18">
        <f t="shared" si="5"/>
        <v>4.8599999999999977e-002</v>
      </c>
    </row>
    <row r="30">
      <c r="A30">
        <v>0.22</v>
      </c>
      <c r="B30" s="18">
        <f t="shared" si="3"/>
        <v>0.71999999999999997</v>
      </c>
      <c r="C30" s="18">
        <f t="shared" si="4"/>
        <v>0.50911688245431419</v>
      </c>
      <c r="D30" s="18">
        <f t="shared" si="5"/>
        <v>5.7023999999999998e-002</v>
      </c>
    </row>
    <row r="31">
      <c r="A31">
        <v>0.14999999999999999</v>
      </c>
      <c r="B31" s="18">
        <f t="shared" si="3"/>
        <v>1</v>
      </c>
      <c r="C31" s="18">
        <f t="shared" si="4"/>
        <v>0.70710678118654746</v>
      </c>
      <c r="D31" s="18">
        <f t="shared" si="5"/>
        <v>7.4999999999999983e-002</v>
      </c>
      <c r="F31" t="s">
        <v>197</v>
      </c>
    </row>
    <row r="32">
      <c r="A32">
        <v>0.12</v>
      </c>
      <c r="B32" s="18">
        <f t="shared" si="3"/>
        <v>1.2</v>
      </c>
      <c r="C32" s="18">
        <f t="shared" si="4"/>
        <v>0.84852813742385691</v>
      </c>
      <c r="D32" s="18">
        <f t="shared" si="5"/>
        <v>8.6399999999999977e-002</v>
      </c>
    </row>
    <row r="33">
      <c r="A33">
        <v>0.10000000000000001</v>
      </c>
      <c r="B33" s="18">
        <f t="shared" si="3"/>
        <v>1.3846153846153846</v>
      </c>
      <c r="C33" s="76">
        <f t="shared" si="4"/>
        <v>0.97907092779675797</v>
      </c>
      <c r="D33" s="18">
        <f t="shared" si="5"/>
        <v>9.5857988165680447e-002</v>
      </c>
    </row>
    <row r="34">
      <c r="A34">
        <v>8.2000000000000003e-002</v>
      </c>
      <c r="B34" s="18">
        <f t="shared" si="3"/>
        <v>1.6071428571428572</v>
      </c>
      <c r="C34" s="18">
        <f t="shared" si="4"/>
        <v>1.136421612621237</v>
      </c>
      <c r="D34" s="18">
        <f t="shared" si="5"/>
        <v>0.10589923469387753</v>
      </c>
    </row>
    <row r="35">
      <c r="A35">
        <v>7.4999999999999997e-002</v>
      </c>
      <c r="B35" s="18">
        <f t="shared" si="3"/>
        <v>1.7142857142857144</v>
      </c>
      <c r="C35" s="18">
        <f t="shared" si="4"/>
        <v>1.212183053462653</v>
      </c>
      <c r="D35" s="18">
        <f t="shared" si="5"/>
        <v>0.11020408163265308</v>
      </c>
    </row>
    <row r="36">
      <c r="A36">
        <v>6.8000000000000005e-002</v>
      </c>
      <c r="B36" s="18">
        <f t="shared" si="3"/>
        <v>1.8367346938775508</v>
      </c>
      <c r="C36" s="86">
        <f t="shared" si="4"/>
        <v>1.2987675572814137</v>
      </c>
      <c r="D36" s="18">
        <f t="shared" si="5"/>
        <v>0.11470220741357766</v>
      </c>
      <c r="F36" t="s">
        <v>198</v>
      </c>
    </row>
    <row r="37">
      <c r="D37" s="18"/>
    </row>
    <row r="38">
      <c r="D38" s="18"/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28" activeCellId="0" sqref="E28"/>
    </sheetView>
  </sheetViews>
  <sheetFormatPr defaultColWidth="11.42578125" defaultRowHeight="14.25"/>
  <cols>
    <col bestFit="1" customWidth="1" min="2" max="2" width="8.42578125"/>
    <col bestFit="1" customWidth="1" min="3" max="3" width="18.42578125"/>
    <col customWidth="1" min="4" max="4" width="18.42578125"/>
    <col bestFit="1" customWidth="1" min="5" max="5" width="18.42578125"/>
    <col customWidth="1" min="6" max="6" width="20.140625"/>
  </cols>
  <sheetData>
    <row r="1" s="2" customFormat="1" ht="18.75">
      <c r="A1" s="1" t="s">
        <v>201</v>
      </c>
    </row>
    <row r="3">
      <c r="A3" s="87" t="s">
        <v>202</v>
      </c>
      <c r="B3" s="88" t="s">
        <v>203</v>
      </c>
      <c r="C3" s="89" t="s">
        <v>204</v>
      </c>
      <c r="D3" s="89" t="s">
        <v>205</v>
      </c>
      <c r="E3" s="89" t="s">
        <v>206</v>
      </c>
      <c r="F3" s="89" t="s">
        <v>207</v>
      </c>
    </row>
    <row r="4">
      <c r="A4" s="90">
        <v>6.2000000000000002</v>
      </c>
      <c r="B4" s="91">
        <f t="shared" ref="B4:B17" si="6">5/(1+A4)/1000</f>
        <v>6.9444444444444447e-004</v>
      </c>
      <c r="C4" s="92">
        <f t="shared" ref="C4:C17" si="7">B4*3000</f>
        <v>2.0833333333333335</v>
      </c>
      <c r="D4" s="93">
        <f t="shared" ref="D4:D17" si="8">C4/SQRT(2)</f>
        <v>1.4731391274719741</v>
      </c>
      <c r="E4" s="94">
        <f t="shared" ref="E4:E17" si="9">0.55*C4</f>
        <v>1.1458333333333335</v>
      </c>
      <c r="F4" s="18">
        <f t="shared" ref="F4:F17" si="10">E4/SQRT(2)</f>
        <v>0.81022652010958573</v>
      </c>
    </row>
    <row r="5">
      <c r="A5" s="90">
        <v>6.7999999999999998</v>
      </c>
      <c r="B5" s="91">
        <f t="shared" si="6"/>
        <v>6.4102564102564113e-004</v>
      </c>
      <c r="C5" s="95">
        <f t="shared" si="7"/>
        <v>1.9230769230769234</v>
      </c>
      <c r="D5" s="96">
        <f t="shared" si="8"/>
        <v>1.359820733051053</v>
      </c>
      <c r="E5" s="96">
        <f t="shared" si="9"/>
        <v>1.0576923076923079</v>
      </c>
      <c r="F5" s="18">
        <f t="shared" si="10"/>
        <v>0.74790140317807918</v>
      </c>
    </row>
    <row r="6">
      <c r="A6" s="90">
        <v>7.5</v>
      </c>
      <c r="B6" s="91">
        <f t="shared" si="6"/>
        <v>5.8823529411764712e-004</v>
      </c>
      <c r="C6" s="95">
        <f t="shared" si="7"/>
        <v>1.7647058823529413</v>
      </c>
      <c r="D6" s="96">
        <f t="shared" si="8"/>
        <v>1.2478354962115545</v>
      </c>
      <c r="E6" s="96">
        <f t="shared" si="9"/>
        <v>0.97058823529411786</v>
      </c>
      <c r="F6" s="18">
        <f t="shared" si="10"/>
        <v>0.68630952291635505</v>
      </c>
    </row>
    <row r="7">
      <c r="A7" s="90">
        <v>8.1999999999999993</v>
      </c>
      <c r="B7" s="91">
        <f t="shared" si="6"/>
        <v>5.4347826086956533e-004</v>
      </c>
      <c r="C7" s="95">
        <f t="shared" si="7"/>
        <v>1.630434782608696</v>
      </c>
      <c r="D7" s="96">
        <f t="shared" si="8"/>
        <v>1.1528914910650234</v>
      </c>
      <c r="E7" s="96">
        <f t="shared" si="9"/>
        <v>0.89673913043478293</v>
      </c>
      <c r="F7" s="18">
        <f t="shared" si="10"/>
        <v>0.63409032008576294</v>
      </c>
    </row>
    <row r="8">
      <c r="A8" s="90">
        <v>9.0999999999999996</v>
      </c>
      <c r="B8" s="91">
        <f t="shared" si="6"/>
        <v>4.9504950495049506e-004</v>
      </c>
      <c r="C8" s="95">
        <f t="shared" si="7"/>
        <v>1.4851485148514851</v>
      </c>
      <c r="D8" s="96">
        <f t="shared" si="8"/>
        <v>1.0501585859206151</v>
      </c>
      <c r="E8" s="96">
        <f t="shared" si="9"/>
        <v>0.81683168316831689</v>
      </c>
      <c r="F8" s="18">
        <f t="shared" si="10"/>
        <v>0.5775872222563383</v>
      </c>
    </row>
    <row r="9">
      <c r="A9" s="90">
        <v>10</v>
      </c>
      <c r="B9" s="91">
        <f t="shared" si="6"/>
        <v>4.5454545454545455e-004</v>
      </c>
      <c r="C9" s="95">
        <f t="shared" si="7"/>
        <v>1.3636363636363635</v>
      </c>
      <c r="D9" s="96">
        <f t="shared" si="8"/>
        <v>0.96423651979983738</v>
      </c>
      <c r="E9" s="96">
        <f t="shared" si="9"/>
        <v>0.75</v>
      </c>
      <c r="F9" s="18">
        <f t="shared" si="10"/>
        <v>0.5303300858899106</v>
      </c>
    </row>
    <row r="10">
      <c r="A10" s="90">
        <v>12</v>
      </c>
      <c r="B10" s="91">
        <f t="shared" si="6"/>
        <v>3.8461538461538462e-004</v>
      </c>
      <c r="C10" s="95">
        <f t="shared" si="7"/>
        <v>1.1538461538461537</v>
      </c>
      <c r="D10" s="96">
        <f t="shared" si="8"/>
        <v>0.81589243983063164</v>
      </c>
      <c r="E10" s="96">
        <f t="shared" si="9"/>
        <v>0.63461538461538458</v>
      </c>
      <c r="F10" s="18">
        <f t="shared" si="10"/>
        <v>0.44874084190684743</v>
      </c>
    </row>
    <row r="11">
      <c r="A11" s="90">
        <v>15</v>
      </c>
      <c r="B11" s="91">
        <f t="shared" si="6"/>
        <v>3.1250000000000001e-004</v>
      </c>
      <c r="C11" s="95">
        <f t="shared" si="7"/>
        <v>0.9375</v>
      </c>
      <c r="D11" s="96">
        <f t="shared" si="8"/>
        <v>0.66291260736238822</v>
      </c>
      <c r="E11" s="96">
        <f t="shared" si="9"/>
        <v>0.515625</v>
      </c>
      <c r="F11" s="18">
        <f t="shared" si="10"/>
        <v>0.36460193404931357</v>
      </c>
    </row>
    <row r="12">
      <c r="A12" s="90">
        <v>18</v>
      </c>
      <c r="B12" s="91">
        <f t="shared" si="6"/>
        <v>2.631578947368421e-004</v>
      </c>
      <c r="C12" s="95">
        <f t="shared" si="7"/>
        <v>0.78947368421052633</v>
      </c>
      <c r="D12" s="96">
        <f t="shared" si="8"/>
        <v>0.55824219567359012</v>
      </c>
      <c r="E12" s="96">
        <f t="shared" si="9"/>
        <v>0.43421052631578949</v>
      </c>
      <c r="F12" s="18">
        <f t="shared" si="10"/>
        <v>0.30703320762047459</v>
      </c>
    </row>
    <row r="13">
      <c r="A13" s="90">
        <v>22</v>
      </c>
      <c r="B13" s="91">
        <f t="shared" si="6"/>
        <v>2.1739130434782607e-004</v>
      </c>
      <c r="C13" s="95">
        <f t="shared" si="7"/>
        <v>0.65217391304347816</v>
      </c>
      <c r="D13" s="96">
        <f t="shared" si="8"/>
        <v>0.46115659642600915</v>
      </c>
      <c r="E13" s="96">
        <f t="shared" si="9"/>
        <v>0.35869565217391303</v>
      </c>
      <c r="F13" s="18">
        <f t="shared" si="10"/>
        <v>0.25363612803430508</v>
      </c>
    </row>
    <row r="14">
      <c r="A14" s="90">
        <v>24</v>
      </c>
      <c r="B14" s="91">
        <f t="shared" si="6"/>
        <v>2.0000000000000001e-004</v>
      </c>
      <c r="C14" s="95">
        <f t="shared" si="7"/>
        <v>0.59999999999999998</v>
      </c>
      <c r="D14" s="96">
        <f t="shared" si="8"/>
        <v>0.42426406871192845</v>
      </c>
      <c r="E14" s="96">
        <f t="shared" si="9"/>
        <v>0.33000000000000002</v>
      </c>
      <c r="F14" s="18">
        <f t="shared" si="10"/>
        <v>0.23334523779156069</v>
      </c>
    </row>
    <row r="15">
      <c r="A15" s="90">
        <v>27</v>
      </c>
      <c r="B15" s="91">
        <f t="shared" si="6"/>
        <v>1.7857142857142857e-004</v>
      </c>
      <c r="C15" s="95">
        <f t="shared" si="7"/>
        <v>0.5357142857142857</v>
      </c>
      <c r="D15" s="96">
        <f t="shared" si="8"/>
        <v>0.37880720420707897</v>
      </c>
      <c r="E15" s="96">
        <f t="shared" si="9"/>
        <v>0.29464285714285715</v>
      </c>
      <c r="F15" s="18">
        <f t="shared" si="10"/>
        <v>0.20834396231389346</v>
      </c>
    </row>
    <row r="16">
      <c r="A16" s="90">
        <v>33</v>
      </c>
      <c r="B16" s="91">
        <f t="shared" si="6"/>
        <v>1.4705882352941178e-004</v>
      </c>
      <c r="C16" s="95">
        <f t="shared" si="7"/>
        <v>0.44117647058823534</v>
      </c>
      <c r="D16" s="96">
        <f t="shared" si="8"/>
        <v>0.31195887405288864</v>
      </c>
      <c r="E16" s="96">
        <f t="shared" si="9"/>
        <v>0.24264705882352947</v>
      </c>
      <c r="F16" s="18">
        <f t="shared" si="10"/>
        <v>0.17157738072908876</v>
      </c>
    </row>
    <row r="17">
      <c r="A17" s="90">
        <v>39</v>
      </c>
      <c r="B17" s="91">
        <f t="shared" si="6"/>
        <v>1.25e-004</v>
      </c>
      <c r="C17" s="95">
        <f t="shared" si="7"/>
        <v>0.375</v>
      </c>
      <c r="D17" s="96">
        <f t="shared" si="8"/>
        <v>0.2651650429449553</v>
      </c>
      <c r="E17" s="96">
        <f t="shared" si="9"/>
        <v>0.20625000000000002</v>
      </c>
      <c r="F17" s="18">
        <f t="shared" si="10"/>
        <v>0.14584077361972542</v>
      </c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20" activeCellId="0" sqref="C20"/>
    </sheetView>
  </sheetViews>
  <sheetFormatPr defaultColWidth="11.42578125" defaultRowHeight="14.25"/>
  <cols>
    <col customWidth="1" min="1" max="1" width="37.140625"/>
    <col customWidth="1" min="4" max="4" width="15.5703125"/>
  </cols>
  <sheetData>
    <row r="1" ht="21">
      <c r="A1" s="97" t="s">
        <v>208</v>
      </c>
    </row>
    <row r="2" ht="21">
      <c r="A2" s="97"/>
    </row>
    <row r="3" ht="18.75">
      <c r="A3" s="2" t="s">
        <v>209</v>
      </c>
      <c r="B3" t="s">
        <v>210</v>
      </c>
      <c r="C3" t="s">
        <v>211</v>
      </c>
      <c r="D3" t="s">
        <v>212</v>
      </c>
      <c r="E3" t="s">
        <v>213</v>
      </c>
      <c r="F3" t="s">
        <v>214</v>
      </c>
      <c r="G3" t="s">
        <v>215</v>
      </c>
      <c r="H3" t="s">
        <v>216</v>
      </c>
      <c r="I3" t="s">
        <v>217</v>
      </c>
    </row>
    <row r="4">
      <c r="A4" t="s">
        <v>218</v>
      </c>
      <c r="B4" s="98">
        <v>5</v>
      </c>
      <c r="C4" s="98">
        <v>0</v>
      </c>
      <c r="D4" s="99">
        <v>10</v>
      </c>
      <c r="E4" s="98" t="s">
        <v>219</v>
      </c>
      <c r="F4" s="98" t="s">
        <v>220</v>
      </c>
      <c r="G4" s="98" t="s">
        <v>221</v>
      </c>
      <c r="H4" s="98" t="s">
        <v>222</v>
      </c>
      <c r="I4" s="100" t="str">
        <f>DEC2HEX(O16,2)</f>
        <v>34</v>
      </c>
    </row>
    <row r="5">
      <c r="A5" t="s">
        <v>223</v>
      </c>
      <c r="B5" s="101">
        <f>B4</f>
        <v>5</v>
      </c>
      <c r="C5" s="101">
        <f>C4</f>
        <v>0</v>
      </c>
      <c r="D5" s="101">
        <f>_xlfn.BITOR(HEX2DEC(D4), HEX2DEC(80))</f>
        <v>144</v>
      </c>
      <c r="E5" s="101">
        <f>HEX2DEC(E4)</f>
        <v>0</v>
      </c>
      <c r="F5" s="101">
        <f t="shared" ref="F5:H5" si="11">HEX2DEC(F4)</f>
        <v>1</v>
      </c>
      <c r="G5" s="101">
        <f t="shared" si="11"/>
        <v>20</v>
      </c>
      <c r="H5" s="101">
        <f t="shared" si="11"/>
        <v>5</v>
      </c>
    </row>
    <row r="7">
      <c r="B7" t="s">
        <v>224</v>
      </c>
      <c r="C7" t="s">
        <v>225</v>
      </c>
    </row>
    <row r="8">
      <c r="B8" s="102">
        <f>B5</f>
        <v>5</v>
      </c>
      <c r="C8">
        <v>0</v>
      </c>
      <c r="D8" s="102">
        <f>C5</f>
        <v>0</v>
      </c>
      <c r="E8">
        <f>C16</f>
        <v>105</v>
      </c>
      <c r="F8" s="102">
        <f>D5</f>
        <v>144</v>
      </c>
      <c r="G8">
        <f>E16</f>
        <v>24</v>
      </c>
      <c r="H8" s="103">
        <f>E5</f>
        <v>0</v>
      </c>
      <c r="I8">
        <f>G16</f>
        <v>119</v>
      </c>
      <c r="J8" s="103">
        <f>F5</f>
        <v>1</v>
      </c>
      <c r="K8">
        <f>I16</f>
        <v>66</v>
      </c>
      <c r="L8" s="103">
        <f>G5</f>
        <v>20</v>
      </c>
      <c r="M8">
        <f>K16</f>
        <v>64</v>
      </c>
      <c r="N8" s="103">
        <f>H5</f>
        <v>5</v>
      </c>
      <c r="O8">
        <f>M16</f>
        <v>31</v>
      </c>
    </row>
    <row r="9">
      <c r="A9" t="s">
        <v>226</v>
      </c>
      <c r="B9">
        <f>B8</f>
        <v>5</v>
      </c>
      <c r="C9">
        <f>IF(_xlfn.BITXOR(_xlfn.BITRSHIFT(C8,7),_xlfn.BITAND(B9,1))=1,_xlfn.BITXOR(_xlfn.BITAND(_xlfn.BITLSHIFT(C8,1),255),7),_xlfn.BITAND(_xlfn.BITLSHIFT(C8,1),255))</f>
        <v>7</v>
      </c>
      <c r="D9">
        <f>D8</f>
        <v>0</v>
      </c>
      <c r="E9">
        <f>IF(_xlfn.BITXOR(_xlfn.BITRSHIFT(E8,7),_xlfn.BITAND(D9,1))=1,_xlfn.BITXOR(_xlfn.BITAND(_xlfn.BITLSHIFT(E8,1),255),7),_xlfn.BITAND(_xlfn.BITLSHIFT(E8,1),255))</f>
        <v>210</v>
      </c>
      <c r="F9">
        <f>F8</f>
        <v>144</v>
      </c>
      <c r="G9">
        <f>IF(_xlfn.BITXOR(_xlfn.BITRSHIFT(G8,7),_xlfn.BITAND(F9,1))=1,_xlfn.BITXOR(_xlfn.BITAND(_xlfn.BITLSHIFT(G8,1),255),7),_xlfn.BITAND(_xlfn.BITLSHIFT(G8,1),255))</f>
        <v>48</v>
      </c>
      <c r="H9">
        <f>H8</f>
        <v>0</v>
      </c>
      <c r="I9">
        <f>IF(_xlfn.BITXOR(_xlfn.BITRSHIFT(I8,7),_xlfn.BITAND(H9,1))=1,_xlfn.BITXOR(_xlfn.BITAND(_xlfn.BITLSHIFT(I8,1),255),7),_xlfn.BITAND(_xlfn.BITLSHIFT(I8,1),255))</f>
        <v>238</v>
      </c>
      <c r="J9">
        <f>J8</f>
        <v>1</v>
      </c>
      <c r="K9">
        <f>IF(_xlfn.BITXOR(_xlfn.BITRSHIFT(K8,7),_xlfn.BITAND(J9,1))=1,_xlfn.BITXOR(_xlfn.BITAND(_xlfn.BITLSHIFT(K8,1),255),7),_xlfn.BITAND(_xlfn.BITLSHIFT(K8,1),255))</f>
        <v>131</v>
      </c>
      <c r="L9">
        <f>L8</f>
        <v>20</v>
      </c>
      <c r="M9">
        <f>IF(_xlfn.BITXOR(_xlfn.BITRSHIFT(M8,7),_xlfn.BITAND(L9,1))=1,_xlfn.BITXOR(_xlfn.BITAND(_xlfn.BITLSHIFT(M8,1),255),7),_xlfn.BITAND(_xlfn.BITLSHIFT(M8,1),255))</f>
        <v>128</v>
      </c>
      <c r="N9">
        <f>N8</f>
        <v>5</v>
      </c>
      <c r="O9">
        <f>IF(_xlfn.BITXOR(_xlfn.BITRSHIFT(O8,7),_xlfn.BITAND(N9,1))=1,_xlfn.BITXOR(_xlfn.BITAND(_xlfn.BITLSHIFT(O8,1),255),7),_xlfn.BITAND(_xlfn.BITLSHIFT(O8,1),255))</f>
        <v>57</v>
      </c>
    </row>
    <row r="10">
      <c r="A10" t="s">
        <v>227</v>
      </c>
      <c r="B10">
        <f>_xlfn.BITRSHIFT(B9,1)</f>
        <v>2</v>
      </c>
      <c r="C10">
        <f t="shared" ref="C10:C16" si="12">IF(_xlfn.BITXOR(_xlfn.BITRSHIFT(C9,7),_xlfn.BITAND(B10,1))=1,_xlfn.BITXOR(_xlfn.BITAND(_xlfn.BITLSHIFT(C9,1),255),7),_xlfn.BITAND(_xlfn.BITLSHIFT(C9,1),255))</f>
        <v>14</v>
      </c>
      <c r="D10">
        <f>_xlfn.BITRSHIFT(D9,1)</f>
        <v>0</v>
      </c>
      <c r="E10">
        <f t="shared" ref="E10:O16" si="13">IF(_xlfn.BITXOR(_xlfn.BITRSHIFT(E9,7),_xlfn.BITAND(D10,1))=1,_xlfn.BITXOR(_xlfn.BITAND(_xlfn.BITLSHIFT(E9,1),255),7),_xlfn.BITAND(_xlfn.BITLSHIFT(E9,1),255))</f>
        <v>163</v>
      </c>
      <c r="F10">
        <f>_xlfn.BITRSHIFT(F9,1)</f>
        <v>72</v>
      </c>
      <c r="G10">
        <f t="shared" si="13"/>
        <v>96</v>
      </c>
      <c r="H10">
        <f>_xlfn.BITRSHIFT(H9,1)</f>
        <v>0</v>
      </c>
      <c r="I10">
        <f t="shared" si="13"/>
        <v>219</v>
      </c>
      <c r="J10">
        <f>_xlfn.BITRSHIFT(J9,1)</f>
        <v>0</v>
      </c>
      <c r="K10">
        <f t="shared" si="13"/>
        <v>1</v>
      </c>
      <c r="L10">
        <f>_xlfn.BITRSHIFT(L9,1)</f>
        <v>10</v>
      </c>
      <c r="M10">
        <f t="shared" si="13"/>
        <v>7</v>
      </c>
      <c r="N10">
        <f>_xlfn.BITRSHIFT(N9,1)</f>
        <v>2</v>
      </c>
      <c r="O10">
        <f t="shared" si="13"/>
        <v>114</v>
      </c>
    </row>
    <row r="11">
      <c r="A11" t="s">
        <v>228</v>
      </c>
      <c r="B11">
        <f t="shared" ref="B11:N16" si="14">_xlfn.BITRSHIFT(B10,1)</f>
        <v>1</v>
      </c>
      <c r="C11">
        <f t="shared" si="12"/>
        <v>27</v>
      </c>
      <c r="D11">
        <f t="shared" si="14"/>
        <v>0</v>
      </c>
      <c r="E11">
        <f t="shared" si="13"/>
        <v>65</v>
      </c>
      <c r="F11">
        <f t="shared" si="14"/>
        <v>36</v>
      </c>
      <c r="G11">
        <f t="shared" si="13"/>
        <v>192</v>
      </c>
      <c r="H11">
        <f t="shared" si="14"/>
        <v>0</v>
      </c>
      <c r="I11">
        <f t="shared" si="13"/>
        <v>177</v>
      </c>
      <c r="J11">
        <f t="shared" si="14"/>
        <v>0</v>
      </c>
      <c r="K11">
        <f t="shared" si="13"/>
        <v>2</v>
      </c>
      <c r="L11">
        <f t="shared" si="14"/>
        <v>5</v>
      </c>
      <c r="M11">
        <f t="shared" si="13"/>
        <v>9</v>
      </c>
      <c r="N11">
        <f t="shared" si="14"/>
        <v>1</v>
      </c>
      <c r="O11">
        <f t="shared" si="13"/>
        <v>227</v>
      </c>
    </row>
    <row r="12">
      <c r="A12" t="s">
        <v>229</v>
      </c>
      <c r="B12">
        <f t="shared" si="14"/>
        <v>0</v>
      </c>
      <c r="C12">
        <f t="shared" si="12"/>
        <v>54</v>
      </c>
      <c r="D12">
        <f t="shared" si="14"/>
        <v>0</v>
      </c>
      <c r="E12">
        <f t="shared" si="13"/>
        <v>130</v>
      </c>
      <c r="F12">
        <f t="shared" si="14"/>
        <v>18</v>
      </c>
      <c r="G12">
        <f t="shared" si="13"/>
        <v>135</v>
      </c>
      <c r="H12">
        <f t="shared" si="14"/>
        <v>0</v>
      </c>
      <c r="I12">
        <f t="shared" si="13"/>
        <v>101</v>
      </c>
      <c r="J12">
        <f t="shared" si="14"/>
        <v>0</v>
      </c>
      <c r="K12">
        <f t="shared" si="13"/>
        <v>4</v>
      </c>
      <c r="L12">
        <f t="shared" si="14"/>
        <v>2</v>
      </c>
      <c r="M12">
        <f t="shared" si="13"/>
        <v>18</v>
      </c>
      <c r="N12">
        <f t="shared" si="14"/>
        <v>0</v>
      </c>
      <c r="O12">
        <f t="shared" si="13"/>
        <v>193</v>
      </c>
    </row>
    <row r="13">
      <c r="A13" t="s">
        <v>230</v>
      </c>
      <c r="B13">
        <f t="shared" si="14"/>
        <v>0</v>
      </c>
      <c r="C13">
        <f t="shared" si="12"/>
        <v>108</v>
      </c>
      <c r="D13">
        <f t="shared" si="14"/>
        <v>0</v>
      </c>
      <c r="E13">
        <f t="shared" si="13"/>
        <v>3</v>
      </c>
      <c r="F13">
        <f t="shared" si="14"/>
        <v>9</v>
      </c>
      <c r="G13">
        <f t="shared" si="13"/>
        <v>14</v>
      </c>
      <c r="H13">
        <f t="shared" si="14"/>
        <v>0</v>
      </c>
      <c r="I13">
        <f t="shared" si="13"/>
        <v>202</v>
      </c>
      <c r="J13">
        <f t="shared" si="14"/>
        <v>0</v>
      </c>
      <c r="K13">
        <f t="shared" si="13"/>
        <v>8</v>
      </c>
      <c r="L13">
        <f t="shared" si="14"/>
        <v>1</v>
      </c>
      <c r="M13">
        <f t="shared" si="13"/>
        <v>35</v>
      </c>
      <c r="N13">
        <f t="shared" si="14"/>
        <v>0</v>
      </c>
      <c r="O13">
        <f t="shared" si="13"/>
        <v>133</v>
      </c>
    </row>
    <row r="14">
      <c r="A14" t="s">
        <v>231</v>
      </c>
      <c r="B14">
        <f t="shared" si="14"/>
        <v>0</v>
      </c>
      <c r="C14">
        <f t="shared" si="12"/>
        <v>216</v>
      </c>
      <c r="D14">
        <f t="shared" si="14"/>
        <v>0</v>
      </c>
      <c r="E14">
        <f t="shared" si="13"/>
        <v>6</v>
      </c>
      <c r="F14">
        <f t="shared" si="14"/>
        <v>4</v>
      </c>
      <c r="G14">
        <f t="shared" si="13"/>
        <v>28</v>
      </c>
      <c r="H14">
        <f t="shared" si="14"/>
        <v>0</v>
      </c>
      <c r="I14">
        <f t="shared" si="13"/>
        <v>147</v>
      </c>
      <c r="J14">
        <f t="shared" si="14"/>
        <v>0</v>
      </c>
      <c r="K14">
        <f t="shared" si="13"/>
        <v>16</v>
      </c>
      <c r="L14">
        <f t="shared" si="14"/>
        <v>0</v>
      </c>
      <c r="M14">
        <f t="shared" si="13"/>
        <v>70</v>
      </c>
      <c r="N14">
        <f t="shared" si="14"/>
        <v>0</v>
      </c>
      <c r="O14">
        <f t="shared" si="13"/>
        <v>13</v>
      </c>
    </row>
    <row r="15">
      <c r="A15" t="s">
        <v>232</v>
      </c>
      <c r="B15">
        <f t="shared" si="14"/>
        <v>0</v>
      </c>
      <c r="C15">
        <f t="shared" si="12"/>
        <v>183</v>
      </c>
      <c r="D15">
        <f t="shared" si="14"/>
        <v>0</v>
      </c>
      <c r="E15">
        <f t="shared" si="13"/>
        <v>12</v>
      </c>
      <c r="F15">
        <f t="shared" si="14"/>
        <v>2</v>
      </c>
      <c r="G15">
        <f t="shared" si="13"/>
        <v>56</v>
      </c>
      <c r="H15">
        <f t="shared" si="14"/>
        <v>0</v>
      </c>
      <c r="I15">
        <f t="shared" si="13"/>
        <v>33</v>
      </c>
      <c r="J15">
        <f t="shared" si="14"/>
        <v>0</v>
      </c>
      <c r="K15">
        <f t="shared" si="13"/>
        <v>32</v>
      </c>
      <c r="L15">
        <f t="shared" si="14"/>
        <v>0</v>
      </c>
      <c r="M15">
        <f t="shared" si="13"/>
        <v>140</v>
      </c>
      <c r="N15">
        <f t="shared" si="14"/>
        <v>0</v>
      </c>
      <c r="O15">
        <f t="shared" si="13"/>
        <v>26</v>
      </c>
    </row>
    <row r="16">
      <c r="A16" t="s">
        <v>233</v>
      </c>
      <c r="B16">
        <f t="shared" si="14"/>
        <v>0</v>
      </c>
      <c r="C16">
        <f t="shared" si="12"/>
        <v>105</v>
      </c>
      <c r="D16">
        <f t="shared" si="14"/>
        <v>0</v>
      </c>
      <c r="E16">
        <f t="shared" si="13"/>
        <v>24</v>
      </c>
      <c r="F16">
        <f t="shared" si="14"/>
        <v>1</v>
      </c>
      <c r="G16">
        <f t="shared" si="13"/>
        <v>119</v>
      </c>
      <c r="H16">
        <f t="shared" si="14"/>
        <v>0</v>
      </c>
      <c r="I16">
        <f t="shared" si="13"/>
        <v>66</v>
      </c>
      <c r="J16">
        <f t="shared" si="14"/>
        <v>0</v>
      </c>
      <c r="K16">
        <f t="shared" si="13"/>
        <v>64</v>
      </c>
      <c r="L16">
        <f t="shared" si="14"/>
        <v>0</v>
      </c>
      <c r="M16">
        <f t="shared" si="13"/>
        <v>31</v>
      </c>
      <c r="N16">
        <f t="shared" si="14"/>
        <v>0</v>
      </c>
      <c r="O16">
        <f t="shared" si="13"/>
        <v>52</v>
      </c>
    </row>
    <row r="19" ht="18.75">
      <c r="A19" s="2" t="s">
        <v>234</v>
      </c>
      <c r="B19" t="s">
        <v>210</v>
      </c>
      <c r="C19" t="s">
        <v>211</v>
      </c>
      <c r="D19" t="s">
        <v>235</v>
      </c>
      <c r="E19" t="s">
        <v>217</v>
      </c>
    </row>
    <row r="20">
      <c r="A20" t="s">
        <v>236</v>
      </c>
      <c r="B20" s="98" t="s">
        <v>222</v>
      </c>
      <c r="C20" s="98" t="s">
        <v>237</v>
      </c>
      <c r="D20" s="98" t="s">
        <v>238</v>
      </c>
      <c r="E20" s="100" t="str">
        <f>DEC2HEX(G32,2)</f>
        <v>6F</v>
      </c>
    </row>
    <row r="21">
      <c r="A21" t="s">
        <v>239</v>
      </c>
      <c r="B21" s="101" t="str">
        <f>B20</f>
        <v>05</v>
      </c>
      <c r="C21" s="101" t="str">
        <f>C20</f>
        <v>0</v>
      </c>
      <c r="D21" s="101">
        <f>HEX2DEC(D20)</f>
        <v>6</v>
      </c>
    </row>
    <row r="23">
      <c r="B23" t="s">
        <v>224</v>
      </c>
      <c r="C23" t="s">
        <v>225</v>
      </c>
    </row>
    <row r="24">
      <c r="B24" s="102" t="str">
        <f>B21</f>
        <v>05</v>
      </c>
      <c r="C24">
        <v>0</v>
      </c>
      <c r="D24" s="102" t="str">
        <f>C21</f>
        <v>0</v>
      </c>
      <c r="E24">
        <f>C32</f>
        <v>105</v>
      </c>
      <c r="F24" s="102">
        <f>D21</f>
        <v>6</v>
      </c>
      <c r="G24">
        <f>E32</f>
        <v>24</v>
      </c>
      <c r="H24" s="53"/>
      <c r="J24" s="53"/>
      <c r="L24" s="53"/>
      <c r="N24" s="53"/>
    </row>
    <row r="25">
      <c r="A25" t="s">
        <v>226</v>
      </c>
      <c r="B25" t="str">
        <f>B24</f>
        <v>05</v>
      </c>
      <c r="C25">
        <f t="shared" ref="C25:C32" si="15">IF(_xlfn.BITXOR(_xlfn.BITRSHIFT(C24,7),_xlfn.BITAND(B25,1))=1,_xlfn.BITXOR(_xlfn.BITAND(_xlfn.BITLSHIFT(C24,1),255),7),_xlfn.BITAND(_xlfn.BITLSHIFT(C24,1),255))</f>
        <v>7</v>
      </c>
      <c r="D25" t="str">
        <f>D24</f>
        <v>0</v>
      </c>
      <c r="E25">
        <f t="shared" ref="E25:E32" si="16">IF(_xlfn.BITXOR(_xlfn.BITRSHIFT(E24,7),_xlfn.BITAND(D25,1))=1,_xlfn.BITXOR(_xlfn.BITAND(_xlfn.BITLSHIFT(E24,1),255),7),_xlfn.BITAND(_xlfn.BITLSHIFT(E24,1),255))</f>
        <v>210</v>
      </c>
      <c r="F25">
        <f>F24</f>
        <v>6</v>
      </c>
      <c r="G25">
        <f t="shared" ref="G25:G32" si="17">IF(_xlfn.BITXOR(_xlfn.BITRSHIFT(G24,7),_xlfn.BITAND(F25,1))=1,_xlfn.BITXOR(_xlfn.BITAND(_xlfn.BITLSHIFT(G24,1),255),7),_xlfn.BITAND(_xlfn.BITLSHIFT(G24,1),255))</f>
        <v>48</v>
      </c>
    </row>
    <row r="26">
      <c r="A26" t="s">
        <v>227</v>
      </c>
      <c r="B26">
        <f t="shared" ref="B26:B32" si="18">_xlfn.BITRSHIFT(B25,1)</f>
        <v>2</v>
      </c>
      <c r="C26">
        <f t="shared" si="15"/>
        <v>14</v>
      </c>
      <c r="D26">
        <f t="shared" ref="D26:D32" si="19">_xlfn.BITRSHIFT(D25,1)</f>
        <v>0</v>
      </c>
      <c r="E26">
        <f t="shared" si="16"/>
        <v>163</v>
      </c>
      <c r="F26">
        <f t="shared" ref="F26:F32" si="20">_xlfn.BITRSHIFT(F25,1)</f>
        <v>3</v>
      </c>
      <c r="G26">
        <f t="shared" si="17"/>
        <v>103</v>
      </c>
    </row>
    <row r="27">
      <c r="A27" t="s">
        <v>228</v>
      </c>
      <c r="B27">
        <f t="shared" si="18"/>
        <v>1</v>
      </c>
      <c r="C27">
        <f t="shared" si="15"/>
        <v>27</v>
      </c>
      <c r="D27">
        <f t="shared" si="19"/>
        <v>0</v>
      </c>
      <c r="E27">
        <f t="shared" si="16"/>
        <v>65</v>
      </c>
      <c r="F27">
        <f t="shared" si="20"/>
        <v>1</v>
      </c>
      <c r="G27">
        <f t="shared" si="17"/>
        <v>201</v>
      </c>
    </row>
    <row r="28">
      <c r="A28" t="s">
        <v>229</v>
      </c>
      <c r="B28">
        <f t="shared" si="18"/>
        <v>0</v>
      </c>
      <c r="C28">
        <f t="shared" si="15"/>
        <v>54</v>
      </c>
      <c r="D28">
        <f t="shared" si="19"/>
        <v>0</v>
      </c>
      <c r="E28">
        <f t="shared" si="16"/>
        <v>130</v>
      </c>
      <c r="F28">
        <f t="shared" si="20"/>
        <v>0</v>
      </c>
      <c r="G28">
        <f t="shared" si="17"/>
        <v>149</v>
      </c>
    </row>
    <row r="29">
      <c r="A29" t="s">
        <v>230</v>
      </c>
      <c r="B29">
        <f t="shared" si="18"/>
        <v>0</v>
      </c>
      <c r="C29">
        <f t="shared" si="15"/>
        <v>108</v>
      </c>
      <c r="D29">
        <f t="shared" si="19"/>
        <v>0</v>
      </c>
      <c r="E29">
        <f t="shared" si="16"/>
        <v>3</v>
      </c>
      <c r="F29">
        <f t="shared" si="20"/>
        <v>0</v>
      </c>
      <c r="G29">
        <f t="shared" si="17"/>
        <v>45</v>
      </c>
    </row>
    <row r="30">
      <c r="A30" t="s">
        <v>231</v>
      </c>
      <c r="B30">
        <f t="shared" si="18"/>
        <v>0</v>
      </c>
      <c r="C30">
        <f t="shared" si="15"/>
        <v>216</v>
      </c>
      <c r="D30">
        <f t="shared" si="19"/>
        <v>0</v>
      </c>
      <c r="E30">
        <f t="shared" si="16"/>
        <v>6</v>
      </c>
      <c r="F30">
        <f t="shared" si="20"/>
        <v>0</v>
      </c>
      <c r="G30">
        <f t="shared" si="17"/>
        <v>90</v>
      </c>
    </row>
    <row r="31">
      <c r="A31" t="s">
        <v>232</v>
      </c>
      <c r="B31">
        <f t="shared" si="18"/>
        <v>0</v>
      </c>
      <c r="C31">
        <f t="shared" si="15"/>
        <v>183</v>
      </c>
      <c r="D31">
        <f t="shared" si="19"/>
        <v>0</v>
      </c>
      <c r="E31">
        <f t="shared" si="16"/>
        <v>12</v>
      </c>
      <c r="F31">
        <f t="shared" si="20"/>
        <v>0</v>
      </c>
      <c r="G31">
        <f t="shared" si="17"/>
        <v>180</v>
      </c>
    </row>
    <row r="32">
      <c r="A32" t="s">
        <v>233</v>
      </c>
      <c r="B32">
        <f t="shared" si="18"/>
        <v>0</v>
      </c>
      <c r="C32">
        <f t="shared" si="15"/>
        <v>105</v>
      </c>
      <c r="D32">
        <f t="shared" si="19"/>
        <v>0</v>
      </c>
      <c r="E32">
        <f t="shared" si="16"/>
        <v>24</v>
      </c>
      <c r="F32">
        <f t="shared" si="20"/>
        <v>0</v>
      </c>
      <c r="G32">
        <f t="shared" si="17"/>
        <v>111</v>
      </c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9" activeCellId="0" sqref="A9"/>
    </sheetView>
  </sheetViews>
  <sheetFormatPr defaultColWidth="11.42578125" defaultRowHeight="14.25"/>
  <cols>
    <col customWidth="1" min="1" max="1" width="12.85546875"/>
    <col customWidth="1" min="2" max="2" width="12.7109375"/>
    <col customWidth="1" min="3" max="3" width="123.7109375"/>
  </cols>
  <sheetData>
    <row r="1">
      <c r="A1" s="104" t="s">
        <v>240</v>
      </c>
      <c r="B1" s="84" t="s">
        <v>241</v>
      </c>
    </row>
    <row r="2">
      <c r="A2" s="104"/>
      <c r="B2" s="84"/>
    </row>
    <row r="3">
      <c r="C3" s="105" t="s">
        <v>242</v>
      </c>
    </row>
    <row r="4">
      <c r="B4" s="105"/>
    </row>
    <row r="5">
      <c r="A5" s="104" t="s">
        <v>243</v>
      </c>
      <c r="B5" t="s">
        <v>244</v>
      </c>
      <c r="C5" s="104" t="s">
        <v>245</v>
      </c>
    </row>
    <row r="6">
      <c r="A6" s="23" t="s">
        <v>246</v>
      </c>
      <c r="B6" t="s">
        <v>247</v>
      </c>
      <c r="C6" t="s">
        <v>248</v>
      </c>
    </row>
    <row r="7">
      <c r="A7" t="s">
        <v>249</v>
      </c>
      <c r="B7" t="s">
        <v>247</v>
      </c>
      <c r="C7" t="s">
        <v>250</v>
      </c>
    </row>
    <row r="8">
      <c r="A8" t="s">
        <v>251</v>
      </c>
      <c r="B8" t="s">
        <v>247</v>
      </c>
      <c r="C8" t="s">
        <v>252</v>
      </c>
    </row>
  </sheetData>
  <printOptions headings="0" gridLines="0"/>
  <pageMargins left="0.69999999999999996" right="0.69999999999999996" top="0.78740157500000008" bottom="0.78740157500000008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Wendlandt</dc:creator>
  <cp:revision>6</cp:revision>
  <dcterms:created xsi:type="dcterms:W3CDTF">2012-04-11T11:11:54Z</dcterms:created>
  <dcterms:modified xsi:type="dcterms:W3CDTF">2022-04-27T03:13:22Z</dcterms:modified>
</cp:coreProperties>
</file>